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NDRESSA.GIACOMAZZO\Downloads\"/>
    </mc:Choice>
  </mc:AlternateContent>
  <xr:revisionPtr revIDLastSave="0" documentId="13_ncr:1_{AD8FACAD-513D-4A69-8E28-ABC30EC464CB}" xr6:coauthVersionLast="47" xr6:coauthVersionMax="47" xr10:uidLastSave="{00000000-0000-0000-0000-000000000000}"/>
  <bookViews>
    <workbookView xWindow="-28920" yWindow="1545" windowWidth="29040" windowHeight="15840" xr2:uid="{00000000-000D-0000-FFFF-FFFF00000000}"/>
  </bookViews>
  <sheets>
    <sheet name="Resumo" sheetId="11" r:id="rId1"/>
    <sheet name="Setup" sheetId="4" r:id="rId2"/>
    <sheet name="Instâncias" sheetId="1" r:id="rId3"/>
    <sheet name="Volume" sheetId="2" r:id="rId4"/>
    <sheet name="Rede" sheetId="6" r:id="rId5"/>
    <sheet name="Serviços" sheetId="3" r:id="rId6"/>
    <sheet name="Sustentação" sheetId="5" r:id="rId7"/>
    <sheet name="Consultoria" sheetId="10" r:id="rId8"/>
    <sheet name="Cálculo final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9" l="1"/>
  <c r="E24" i="11" s="1"/>
  <c r="D24" i="9"/>
  <c r="E21" i="11" s="1"/>
  <c r="Q4" i="5" l="1"/>
  <c r="R4" i="5" s="1"/>
  <c r="O3" i="5"/>
  <c r="P3" i="5" s="1"/>
  <c r="B16" i="9" s="1"/>
  <c r="Q28" i="3"/>
  <c r="O28" i="3"/>
  <c r="Q24" i="3"/>
  <c r="O24" i="3"/>
  <c r="Q20" i="3"/>
  <c r="O20" i="3"/>
  <c r="Q16" i="3"/>
  <c r="O16" i="3"/>
  <c r="Q11" i="3"/>
  <c r="Q12" i="3"/>
  <c r="Q10" i="3"/>
  <c r="O11" i="3"/>
  <c r="O12" i="3"/>
  <c r="O10" i="3"/>
  <c r="Q8" i="3"/>
  <c r="O8" i="3"/>
  <c r="Q4" i="3"/>
  <c r="R4" i="3" s="1"/>
  <c r="Q3" i="3"/>
  <c r="T3" i="6"/>
  <c r="S5" i="6"/>
  <c r="T5" i="6" s="1"/>
  <c r="S8" i="6"/>
  <c r="T8" i="6" s="1"/>
  <c r="S11" i="6"/>
  <c r="T11" i="6" s="1"/>
  <c r="Q11" i="6"/>
  <c r="Q8" i="6"/>
  <c r="R8" i="6" s="1"/>
  <c r="S4" i="6"/>
  <c r="T4" i="6" s="1"/>
  <c r="S3" i="6"/>
  <c r="Q4" i="6"/>
  <c r="R4" i="6" s="1"/>
  <c r="Q5" i="6"/>
  <c r="R5" i="6" s="1"/>
  <c r="Q3" i="6"/>
  <c r="R3" i="6" s="1"/>
  <c r="P12" i="2"/>
  <c r="P9" i="2"/>
  <c r="P10" i="2"/>
  <c r="P11" i="2"/>
  <c r="P8" i="2"/>
  <c r="Q8" i="2" s="1"/>
  <c r="P4" i="2"/>
  <c r="P3" i="2"/>
  <c r="Q3" i="2" s="1"/>
  <c r="O6" i="2"/>
  <c r="S4" i="1"/>
  <c r="S5" i="1"/>
  <c r="S6" i="1"/>
  <c r="S7" i="1"/>
  <c r="S8" i="1"/>
  <c r="S9" i="1"/>
  <c r="S10" i="1"/>
  <c r="S11" i="1"/>
  <c r="T11" i="1" s="1"/>
  <c r="S3" i="1"/>
  <c r="T3" i="1" s="1"/>
  <c r="Q4" i="1"/>
  <c r="Q5" i="1"/>
  <c r="Q6" i="1"/>
  <c r="Q7" i="1"/>
  <c r="Q8" i="1"/>
  <c r="Q9" i="1"/>
  <c r="Q10" i="1"/>
  <c r="Q11" i="1"/>
  <c r="Q3" i="1"/>
  <c r="Q13" i="6" l="1"/>
  <c r="S13" i="1"/>
  <c r="Q13" i="1"/>
  <c r="R3" i="1"/>
  <c r="D4" i="5" l="1"/>
  <c r="D3" i="5"/>
  <c r="G24" i="3"/>
  <c r="D24" i="3"/>
  <c r="B4" i="3"/>
  <c r="O4" i="3" s="1"/>
  <c r="P4" i="3" s="1"/>
  <c r="B3" i="3"/>
  <c r="O3" i="3" s="1"/>
  <c r="P3" i="3" s="1"/>
  <c r="B12" i="2"/>
  <c r="N12" i="2" s="1"/>
  <c r="B11" i="2"/>
  <c r="N11" i="2" s="1"/>
  <c r="B10" i="2"/>
  <c r="N10" i="2" s="1"/>
  <c r="B9" i="2"/>
  <c r="N9" i="2" s="1"/>
  <c r="B8" i="2"/>
  <c r="B7" i="2"/>
  <c r="B6" i="2"/>
  <c r="B5" i="2"/>
  <c r="N5" i="2" s="1"/>
  <c r="B4" i="2"/>
  <c r="N4" i="2" s="1"/>
  <c r="B3" i="2"/>
  <c r="N3" i="2" s="1"/>
  <c r="O3" i="2" s="1"/>
  <c r="N14" i="2" l="1"/>
  <c r="B20" i="9"/>
  <c r="E27" i="9" l="1"/>
  <c r="F24" i="11" s="1"/>
  <c r="B11" i="9"/>
  <c r="N3" i="10" l="1"/>
  <c r="O3" i="10" s="1"/>
  <c r="P28" i="3"/>
  <c r="P3" i="10"/>
  <c r="Q3" i="10" s="1"/>
  <c r="E24" i="9"/>
  <c r="P20" i="3"/>
  <c r="R16" i="3"/>
  <c r="R8" i="3"/>
  <c r="P8" i="3"/>
  <c r="P10" i="3"/>
  <c r="R3" i="3"/>
  <c r="F21" i="11" l="1"/>
  <c r="R28" i="3"/>
  <c r="R10" i="3"/>
  <c r="R11" i="6"/>
  <c r="R13" i="6" s="1"/>
  <c r="P16" i="3"/>
  <c r="C16" i="9" l="1"/>
  <c r="B19" i="9" s="1"/>
  <c r="B21" i="9" s="1"/>
  <c r="M4" i="3"/>
  <c r="M3" i="3"/>
  <c r="L12" i="2"/>
  <c r="L11" i="2"/>
  <c r="L10" i="2"/>
  <c r="L9" i="2"/>
  <c r="L8" i="2"/>
  <c r="L7" i="2"/>
  <c r="L6" i="2"/>
  <c r="L5" i="2"/>
  <c r="L4" i="2"/>
  <c r="L3" i="2"/>
  <c r="Q7" i="2"/>
  <c r="Q5" i="2"/>
  <c r="Q9" i="2"/>
  <c r="O8" i="2"/>
  <c r="O7" i="2"/>
  <c r="O4" i="2"/>
  <c r="O5" i="2"/>
  <c r="O9" i="2"/>
  <c r="Q6" i="2"/>
  <c r="R11" i="3"/>
  <c r="R12" i="3"/>
  <c r="R20" i="3"/>
  <c r="Q4" i="2"/>
  <c r="Q10" i="2"/>
  <c r="Q12" i="2"/>
  <c r="T4" i="1"/>
  <c r="T5" i="1"/>
  <c r="R6" i="1"/>
  <c r="R7" i="1"/>
  <c r="T8" i="1"/>
  <c r="T9" i="1"/>
  <c r="T10" i="1"/>
  <c r="J4" i="5" l="1"/>
  <c r="J3" i="5"/>
  <c r="D26" i="9"/>
  <c r="Q11" i="2"/>
  <c r="P11" i="3"/>
  <c r="T7" i="1"/>
  <c r="P12" i="3"/>
  <c r="R4" i="1"/>
  <c r="R11" i="1"/>
  <c r="O12" i="2"/>
  <c r="O10" i="2"/>
  <c r="R9" i="1"/>
  <c r="R8" i="1"/>
  <c r="R10" i="1"/>
  <c r="E26" i="9" l="1"/>
  <c r="F23" i="11" s="1"/>
  <c r="E23" i="11"/>
  <c r="T13" i="6"/>
  <c r="C5" i="9" s="1"/>
  <c r="Q14" i="2"/>
  <c r="C4" i="9" s="1"/>
  <c r="T6" i="1"/>
  <c r="T13" i="1" s="1"/>
  <c r="R5" i="1"/>
  <c r="R13" i="1" s="1"/>
  <c r="B3" i="9" s="1"/>
  <c r="R24" i="3"/>
  <c r="P24" i="3"/>
  <c r="P14" i="2"/>
  <c r="O11" i="2"/>
  <c r="O14" i="2" s="1"/>
  <c r="B4" i="9" l="1"/>
  <c r="C3" i="9"/>
  <c r="B5" i="9"/>
  <c r="R30" i="3"/>
  <c r="S13" i="6"/>
  <c r="P30" i="3"/>
  <c r="Q30" i="3"/>
  <c r="O30" i="3"/>
  <c r="B6" i="9" l="1"/>
  <c r="B7" i="9" s="1"/>
  <c r="C6" i="9"/>
  <c r="C7" i="9" s="1"/>
  <c r="B10" i="9" l="1"/>
  <c r="B12" i="9" s="1"/>
  <c r="J10" i="3" l="1"/>
  <c r="J7" i="2"/>
  <c r="J8" i="1"/>
  <c r="J12" i="3"/>
  <c r="J8" i="3"/>
  <c r="J8" i="2"/>
  <c r="J9" i="1"/>
  <c r="J6" i="1"/>
  <c r="J4" i="3"/>
  <c r="J9" i="2"/>
  <c r="J10" i="1"/>
  <c r="J6" i="2"/>
  <c r="J3" i="3"/>
  <c r="J10" i="2"/>
  <c r="J11" i="1"/>
  <c r="K3" i="6"/>
  <c r="K11" i="6"/>
  <c r="J11" i="2"/>
  <c r="J20" i="3"/>
  <c r="K8" i="6"/>
  <c r="J12" i="2"/>
  <c r="J4" i="1"/>
  <c r="J28" i="3"/>
  <c r="K4" i="6"/>
  <c r="J3" i="2"/>
  <c r="J5" i="2"/>
  <c r="J24" i="3"/>
  <c r="K5" i="6"/>
  <c r="J3" i="1"/>
  <c r="J7" i="1"/>
  <c r="J16" i="3"/>
  <c r="J4" i="2"/>
  <c r="J5" i="1"/>
  <c r="J11" i="3"/>
  <c r="D25" i="9"/>
  <c r="E22" i="11" s="1"/>
  <c r="E25" i="9" l="1"/>
  <c r="F22" i="11" l="1"/>
  <c r="E28" i="9"/>
  <c r="F25" i="11"/>
</calcChain>
</file>

<file path=xl/sharedStrings.xml><?xml version="1.0" encoding="utf-8"?>
<sst xmlns="http://schemas.openxmlformats.org/spreadsheetml/2006/main" count="460" uniqueCount="246">
  <si>
    <t>Instância</t>
  </si>
  <si>
    <t>SO</t>
  </si>
  <si>
    <t>VCPU</t>
  </si>
  <si>
    <t>Memória</t>
  </si>
  <si>
    <t>I/O</t>
  </si>
  <si>
    <t xml:space="preserve">Servidor de Aplicação SEI </t>
  </si>
  <si>
    <t xml:space="preserve">Linux </t>
  </si>
  <si>
    <t xml:space="preserve">Servidor de Aplicação SIP </t>
  </si>
  <si>
    <t>Linux</t>
  </si>
  <si>
    <t>Servidor de Banco de Dados (RDS Multi AZ)</t>
  </si>
  <si>
    <t xml:space="preserve">Servidor de Indexação e Busca de Documentos </t>
  </si>
  <si>
    <t xml:space="preserve">Servidor de Conversão de Documentos </t>
  </si>
  <si>
    <t xml:space="preserve">Servidor AD </t>
  </si>
  <si>
    <t xml:space="preserve">MS Windows Server </t>
  </si>
  <si>
    <t>Armazenamento até GB</t>
  </si>
  <si>
    <t>Snapshot EBS</t>
  </si>
  <si>
    <t>Serviços</t>
  </si>
  <si>
    <t>Transferência (Entrada\Saída) GB</t>
  </si>
  <si>
    <t>Armazenamento GB até</t>
  </si>
  <si>
    <t>Solicitações até</t>
  </si>
  <si>
    <t>Quantidade inicial</t>
  </si>
  <si>
    <t>Armazenamento</t>
  </si>
  <si>
    <t>Armazenamento One Zone (GB por mês)</t>
  </si>
  <si>
    <t>Armazenamento final GB</t>
  </si>
  <si>
    <t>Tipo de sustentação</t>
  </si>
  <si>
    <t>Consultoria para novos projetos ou atualização de projetos atuais, será gerada uma proposta comercial onde serão mensuradas as horas necessárias para a execução.</t>
  </si>
  <si>
    <t>Volumes EBS SSD</t>
  </si>
  <si>
    <t>Snapshot – EBS – PostgreSQL/Maria DB</t>
  </si>
  <si>
    <t>Backup</t>
  </si>
  <si>
    <t>CloudFront</t>
  </si>
  <si>
    <t>CloudFront e WAF</t>
  </si>
  <si>
    <t>Conexões VPN</t>
  </si>
  <si>
    <t>Serviços EFS</t>
  </si>
  <si>
    <t>Serviços SES</t>
  </si>
  <si>
    <t>Setup</t>
  </si>
  <si>
    <t>Sustentação</t>
  </si>
  <si>
    <t>Mem Cache</t>
  </si>
  <si>
    <t>Quantidade inicial mês</t>
  </si>
  <si>
    <t>Quantidade final mês</t>
  </si>
  <si>
    <t>Serviços DNS</t>
  </si>
  <si>
    <t>Rede por Demanda</t>
  </si>
  <si>
    <t xml:space="preserve">0 até 5 Gigabit </t>
  </si>
  <si>
    <t xml:space="preserve">Consumo para </t>
  </si>
  <si>
    <t>Tráfego de saída da rede</t>
  </si>
  <si>
    <t>Tráfego de rede do balanceador de carga</t>
  </si>
  <si>
    <t xml:space="preserve">Métrica I/O </t>
  </si>
  <si>
    <t>Serviço de balanceamento de carga</t>
  </si>
  <si>
    <t>Serviço de DNS – Consultas</t>
  </si>
  <si>
    <t>Serviço de VPN</t>
  </si>
  <si>
    <t>Gigabyte/Mês</t>
  </si>
  <si>
    <t>Gigabyte mês</t>
  </si>
  <si>
    <t>Mi Cons/Mês</t>
  </si>
  <si>
    <t>Quantidade Inicial</t>
  </si>
  <si>
    <t>Quantidade Final</t>
  </si>
  <si>
    <t>WAF - ACL (Valor por
lista/mês - hora rateada)</t>
  </si>
  <si>
    <t>WAF - Regra (Valor por
regra/mês - hora
rateada)</t>
  </si>
  <si>
    <t>WAF - Solicitaçoes (valor
por milhão de
solicitação)</t>
  </si>
  <si>
    <t>Serviço de DNS - Zona
Hospedada</t>
  </si>
  <si>
    <t>Instâncias - EC2 e RDS - Reservadas</t>
  </si>
  <si>
    <t xml:space="preserve">Tipo de sustentação </t>
  </si>
  <si>
    <t>Quantidade final até</t>
  </si>
  <si>
    <t>Quantidade inicial GB</t>
  </si>
  <si>
    <t>Serviço de servidor de e-mail
(SMTP) – 1 GB por Milhar</t>
  </si>
  <si>
    <t>Valor máximo instâncias por hora</t>
  </si>
  <si>
    <t>Armazenamento mínimo GB</t>
  </si>
  <si>
    <t>Valor mínimo instâncias por hora</t>
  </si>
  <si>
    <t>Valores mínimo e máximo para Volume EBS SSD</t>
  </si>
  <si>
    <t>Valores mínimo e máximo para Instâncias</t>
  </si>
  <si>
    <t>Valores mínimo e máximo para Rede por Demanda</t>
  </si>
  <si>
    <t>Valor mínimo de consumo</t>
  </si>
  <si>
    <t>Valor máximo de consumo</t>
  </si>
  <si>
    <t>Armazenamento GB mínimo</t>
  </si>
  <si>
    <t>Valores mínimo e máximo para Serviços</t>
  </si>
  <si>
    <t>Valor Fixo</t>
  </si>
  <si>
    <t>Transferência (Entrada\Saída) GB inicial</t>
  </si>
  <si>
    <t>Solicitações até o máximo previsto</t>
  </si>
  <si>
    <t>Conexão VPN (Quantidade inicial alterada de 730 para 5, quantidade final alterada de 18.250 para 30)</t>
  </si>
  <si>
    <t>Valor mínimo horas mês</t>
  </si>
  <si>
    <t>Valor máximo horas mês</t>
  </si>
  <si>
    <t>Instâncias</t>
  </si>
  <si>
    <t>Mínimo</t>
  </si>
  <si>
    <t>Máximo</t>
  </si>
  <si>
    <t>Volume</t>
  </si>
  <si>
    <t>Rede</t>
  </si>
  <si>
    <t>Preço mínimo mensal sustentação</t>
  </si>
  <si>
    <t>Preço máximo mensal sustentação</t>
  </si>
  <si>
    <t>TOTAIS PREVISTOS</t>
  </si>
  <si>
    <t>ALB/Por 
mês</t>
  </si>
  <si>
    <t>Quantidade máxima de recursos</t>
  </si>
  <si>
    <t>Em USN</t>
  </si>
  <si>
    <t>Consultoria</t>
  </si>
  <si>
    <t xml:space="preserve">Valores mínimo e máximo para Sustentação </t>
  </si>
  <si>
    <t>Valor máximo por USN</t>
  </si>
  <si>
    <t>Qtd. inicial</t>
  </si>
  <si>
    <t>Qtd. final</t>
  </si>
  <si>
    <t>Descrição do Serviço</t>
  </si>
  <si>
    <t>Meses ano x 3 x Preço por GB mês qtd. inicial</t>
  </si>
  <si>
    <t>Horas dia x dias ano x 3 x preço hora qtd. inicial</t>
  </si>
  <si>
    <t>Meses ano x 3 x preço mês qtd. inicial</t>
  </si>
  <si>
    <t>Consumo qtd. final</t>
  </si>
  <si>
    <t>Preço hora qtd. final</t>
  </si>
  <si>
    <t>Meses ano x 3 x Preço por GB mês qtd. final</t>
  </si>
  <si>
    <t>Horas dia x dias ano x 3 x preço hora qtd. final</t>
  </si>
  <si>
    <t>Meses ano x 3 x preço mês qtd. final</t>
  </si>
  <si>
    <t>Preço por GB mês qtd. inicial</t>
  </si>
  <si>
    <t>Preço por GB mês qtd. final</t>
  </si>
  <si>
    <t>Preço hora qtd. inicial</t>
  </si>
  <si>
    <t>Preço para qtd. inicial</t>
  </si>
  <si>
    <t>Qtd. Final</t>
  </si>
  <si>
    <t>Qtd. Inicial</t>
  </si>
  <si>
    <t>Preço para a qtd. final</t>
  </si>
  <si>
    <t>Qtd. final até</t>
  </si>
  <si>
    <t>Total de meses x preço hora qtd. inicial</t>
  </si>
  <si>
    <t>Total de meses x preço hora qtd. final</t>
  </si>
  <si>
    <t>Preço para qtd. inicial mês</t>
  </si>
  <si>
    <t>Qtd. final mês</t>
  </si>
  <si>
    <t>Qtd. inicial mês</t>
  </si>
  <si>
    <t>Preço para a qtd. final mês</t>
  </si>
  <si>
    <t>Qtd.  inicial</t>
  </si>
  <si>
    <t>Qtd.  final</t>
  </si>
  <si>
    <t>Consumo qtd. inicial</t>
  </si>
  <si>
    <t>Preço mês qtd. inicial</t>
  </si>
  <si>
    <t>Fornecedor 1 - Preço por GB/mês R$</t>
  </si>
  <si>
    <t>Fornecedor 2 - Preço por GB/mês R$</t>
  </si>
  <si>
    <t>Fornecedor 3 - Preço por GB/mês R$</t>
  </si>
  <si>
    <t>Fornecedor 1 - Preço mensal R$</t>
  </si>
  <si>
    <t>Fornecedor 2 - Preço mensal R$</t>
  </si>
  <si>
    <t>Fornecedor 3 - Preço mensal R$</t>
  </si>
  <si>
    <t>Fornecedor 3 - Valor por cada solicitação</t>
  </si>
  <si>
    <t>Fornecedor 2 - Valor por cada solicitação</t>
  </si>
  <si>
    <t>Fornec. 2 - Valor hora por cada VPN ativada</t>
  </si>
  <si>
    <t>Fornec. 3 - Valor hora por cada VPN ativada</t>
  </si>
  <si>
    <t>Fornec. 1 - Valor hora por cada VPN ativada</t>
  </si>
  <si>
    <t>Fornec. 1 - Valor por cada solicitação</t>
  </si>
  <si>
    <t>Fornec. 1 - Preço por cada 1GB R$</t>
  </si>
  <si>
    <t>Fornec. 2 - Preço por cada 1GB R$</t>
  </si>
  <si>
    <t>Fornec. 3 - Preço por cada 1GB R$</t>
  </si>
  <si>
    <t>Fornec. 1 - Preço por cada 1000 envios R$</t>
  </si>
  <si>
    <t>Fornec. 2 - Preço por cada 1000 envios R$</t>
  </si>
  <si>
    <t>Fornec. 3 - Preço por cada 1000 envios R$</t>
  </si>
  <si>
    <t>Fornec. 1 - Preço hora por cada regra R$</t>
  </si>
  <si>
    <t>Fornec. 2 - Preço hora por cada regra R$</t>
  </si>
  <si>
    <t>Fornec. 3 - Preço hora por cada regra R$</t>
  </si>
  <si>
    <t>Fornec.1 - Valor por cada 1GB</t>
  </si>
  <si>
    <t>Fornec. 2 - Valor por cada 1GB</t>
  </si>
  <si>
    <t>Fornec. 3 - Valor por cada 1GB</t>
  </si>
  <si>
    <t>Fornec. 1 - Preço mês R$</t>
  </si>
  <si>
    <t>Fornec. 2 - Preço mês R$</t>
  </si>
  <si>
    <t>Fornec. 3 - Preço mês R$</t>
  </si>
  <si>
    <t>Fornec. 1 - Preço por Hora R$</t>
  </si>
  <si>
    <t>Fornec. 2 - Preço por Hora R$</t>
  </si>
  <si>
    <t>Fornec. 3 - Preço por Hora R$</t>
  </si>
  <si>
    <t>Sustentação 24x7 - Abertura e fechamento de chamados, auxílio referente à utilização de ferramentas e recursos do provedor, manutenção e otimização do ambiente de acordo com as melhores práticas do provedor contratado, avaliação de novos cenários e possibilidade de utilizar novas tecnologias e alta disponibilidade de atendimento para incidentes críticos que tenham tornado o sistema totalmente ou parcialmente inoperante, com comprometimento de atividades essenciais para o cliente. Os itens de sustentação 5x8 e 24x7 não serão contratados simultâneamente.</t>
  </si>
  <si>
    <t>Sustentação 5x8 - Abertura e fechamento de chamados, auxílio referente à utilização de ferramentas e recursos do provedor, Manutenção e otimização do ambiente de acordo com as melhores práticas do provedor contratado, avaliação de novos cenários e possibilidade de utilizar novas tecnologias. Os itens de sustentação 5x8 e 24x7 não serão contratados simultâneamente.</t>
  </si>
  <si>
    <t>Arquitetar e implementar a arquitetura de nuvem necessária para a implantação do Sistema Eletrônico de Informações (SEI) conforme diagrama disponibilizado pela contratante. Preparação do ambiente em nuvem incluindo as configurações de rede, acesso de usuários e segurança de modo a suportar os serviços contratados pelo cliente. Apoio técnico para transferência de dados e demais atividades pertinentes ao processo de migração para nuvem de acordo com as boas práticas.</t>
  </si>
  <si>
    <t>Sustentação 5x8 - Abertura e fechamento de chamados, auxílio referente à utilização de ferramentas e recursos do provedor, Manutenção e otimização do ambiente de acordo com as melhores práticas do provedor contratado, avaliação de novos cenários e possibilidade de utilizar novas tecnologias. Os itens de sustentação 5x8 e 24x7 não serão contratados simultaneamente.</t>
  </si>
  <si>
    <t>Sustentação 24x7 - Abertura e fechamento de chamados, auxílio referente à utilização de ferramentas e recursos do provedor, manutenção e otimização do ambiente de acordo com as melhores práticas do provedor contratado, avaliação de novos cenários e possibilidade de utilizar novas tecnologias e alta disponibilidade de atendimento para incidentes críticos que tenham tornado o sistema totalmente ou parcialmente inoperante, com comprometimento de atividades essenciais para o cliente. Os itens de sustentação 5x8 e 24x7 não serão contratados simultaneamente.</t>
  </si>
  <si>
    <t>Fornec. 1 - Valor unitário</t>
  </si>
  <si>
    <t>Fornec. 2 - Valor unitário</t>
  </si>
  <si>
    <t>Fornec. 3 - Valor unitário</t>
  </si>
  <si>
    <t xml:space="preserve">Sustentação </t>
  </si>
  <si>
    <t>Total de horas do período (Qtd. de USN)</t>
  </si>
  <si>
    <t>VALOR DA USN (Instâncias + Volume + Rede + Serviços)</t>
  </si>
  <si>
    <t>Instâncias + Volume + Rede + Serviços</t>
  </si>
  <si>
    <t>VALOR DA USN (Sustentação)</t>
  </si>
  <si>
    <t>(Instâncias + Volume + Rede + Serviços)</t>
  </si>
  <si>
    <t>VALOR MÁXIMO ESTIMADO</t>
  </si>
  <si>
    <t>Qtd.</t>
  </si>
  <si>
    <t>Valor Unitário</t>
  </si>
  <si>
    <t>Valor Total</t>
  </si>
  <si>
    <t>Unidade</t>
  </si>
  <si>
    <t>USN</t>
  </si>
  <si>
    <t>Hora</t>
  </si>
  <si>
    <t>Valor mínimo Volume GB mês</t>
  </si>
  <si>
    <t>Valor mínimo Volume para 36 meses</t>
  </si>
  <si>
    <t>Valor máximo Volume GB mês</t>
  </si>
  <si>
    <t>Valor máximo Volume para 36 meses</t>
  </si>
  <si>
    <t>Valor mínimo Rede para 36 meses</t>
  </si>
  <si>
    <t>Valor máximo Rede para 36 meses</t>
  </si>
  <si>
    <t>Valor mínimo mensal de consumo</t>
  </si>
  <si>
    <t>Valor máximo mensal de consumo</t>
  </si>
  <si>
    <t>Valor mínimo de consumo para 36 meses</t>
  </si>
  <si>
    <t>Valor máximo de consumo para 36 meses</t>
  </si>
  <si>
    <t>Valor total sustentação 5x8 para 36 meses</t>
  </si>
  <si>
    <t>Valor total sustentação 24x7 para 36 meses</t>
  </si>
  <si>
    <t>Valor máximo de Consultoria para 36 meses</t>
  </si>
  <si>
    <t>Valor mínimo de Consultoria para 36 meses</t>
  </si>
  <si>
    <t>Valor mínimo Instâncias para 36 meses</t>
  </si>
  <si>
    <t>Valor máximo Instâncias para 36 meses</t>
  </si>
  <si>
    <t>Preço mensal qtd. inicial</t>
  </si>
  <si>
    <t>Preço mensal qtd. final</t>
  </si>
  <si>
    <t>Setup - Implantação e Configuração</t>
  </si>
  <si>
    <t>Fornecedor 4 - Preço por GB/mês R$</t>
  </si>
  <si>
    <t>Fornecedor 4 - Preço mensal R$</t>
  </si>
  <si>
    <t>Fornec. 4 - Valor por cada 1GB</t>
  </si>
  <si>
    <t>Fornecedor 4 - Valor por cada solicitação</t>
  </si>
  <si>
    <t>Fornec. 4 - Valor hora por cada VPN ativada</t>
  </si>
  <si>
    <t>Fornec. 4 - Preço por cada 1GB R$</t>
  </si>
  <si>
    <t>Fornec. 4 - Preço por cada 1000 envios R$</t>
  </si>
  <si>
    <t>Fornec. 4 - Preço hora por cada regra R$</t>
  </si>
  <si>
    <t>Fornec. 4 - Preço mês R$</t>
  </si>
  <si>
    <t>Fornec. 4 - Preço por Hora R$</t>
  </si>
  <si>
    <t>Razão Social</t>
  </si>
  <si>
    <t>CNPJ</t>
  </si>
  <si>
    <t>Contato</t>
  </si>
  <si>
    <t>Telefones</t>
  </si>
  <si>
    <t>Email</t>
  </si>
  <si>
    <t>Endereço</t>
  </si>
  <si>
    <t>Valor Global da Proposta</t>
  </si>
  <si>
    <t>Resumo Financeiro da Proposta</t>
  </si>
  <si>
    <t>Preço Ofertado (R$)</t>
  </si>
  <si>
    <t>Preço Máximo  (Pagamento único após a conclusão) R$</t>
  </si>
  <si>
    <t>Preço Máximo (GB/mês)</t>
  </si>
  <si>
    <t>Preço Máximo por hora</t>
  </si>
  <si>
    <t>Preço Ofertado (GB/mês)</t>
  </si>
  <si>
    <t>Valor máximo por cada 1GB</t>
  </si>
  <si>
    <t>Preço ofertado por cada 1GB</t>
  </si>
  <si>
    <t>Valor máximo por solicitação</t>
  </si>
  <si>
    <t>Preço ofertado por solicitação</t>
  </si>
  <si>
    <t>Valor máximo (VPN/hora ativada)</t>
  </si>
  <si>
    <t>Preço ofertado (VPN/hora ativada)</t>
  </si>
  <si>
    <t xml:space="preserve">Valor máximo </t>
  </si>
  <si>
    <t>Preço ofertado</t>
  </si>
  <si>
    <t>Preço ofertado (GB/mês)</t>
  </si>
  <si>
    <t>Valor máximo (GB/mês)</t>
  </si>
  <si>
    <t>Valor máximo (para cada 1000 envios)</t>
  </si>
  <si>
    <t>Preço ofertado (para cada 1000 envios)</t>
  </si>
  <si>
    <t>Valor máximo (hora por cada regra)</t>
  </si>
  <si>
    <t>Preço ofertado (hora por cada regra)</t>
  </si>
  <si>
    <t xml:space="preserve">Preço Ofertado (por hora) </t>
  </si>
  <si>
    <t>Valor máximo (por mês)</t>
  </si>
  <si>
    <t>Preço ofertado (por mês)</t>
  </si>
  <si>
    <t>Valor máximo (por hora)</t>
  </si>
  <si>
    <t>Preço ofertado (por hora)</t>
  </si>
  <si>
    <t>Valor Unitário (R$)</t>
  </si>
  <si>
    <t xml:space="preserve">Valor Total (R$) </t>
  </si>
  <si>
    <t>Item</t>
  </si>
  <si>
    <t>Descrição</t>
  </si>
  <si>
    <t>Setup (Implantação e configuração da arquitetura de IaaS e DBaaS)</t>
  </si>
  <si>
    <t>Instâncias de servidores, volume para armazenamento, itens de rede e serviços de infraestrutura em IaaS e DBaaS</t>
  </si>
  <si>
    <t>Sustentação para suporte e manutenção em IaaS e DBaaS</t>
  </si>
  <si>
    <t>Consultoria em IaaS e DBaaS</t>
  </si>
  <si>
    <t>INSTRUÇÕES PARA PREENCHIMENTO DA PLANILHA</t>
  </si>
  <si>
    <t>Dados da Empresa</t>
  </si>
  <si>
    <t>Preencher somente os campos em AMARELO nas seguintes abas (os demais campos serão preenchidos automaticamente):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</si>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</sst>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[$R$-416]\ * #,##0.00000_-;\-[$R$-416]\ * #,##0.00000_-;_-[$R$-416]\ * &quot;-&quot;??_-;_-@_-"/>
    <numFmt numFmtId="166" formatCode="_-[$R$-416]\ * #,##0.000_-;\-[$R$-416]\ * #,##0.000_-;_-[$R$-416]\ * &quot;-&quot;??_-;_-@_-"/>
    <numFmt numFmtId="167" formatCode="_-[$R$-416]\ * #,##0.0000_-;\-[$R$-416]\ * #,##0.0000_-;_-[$R$-416]\ * &quot;-&quot;??_-;_-@_-"/>
    <numFmt numFmtId="168" formatCode="_-[$R$-416]\ * #,##0.0000000_-;\-[$R$-416]\ * #,##0.0000000_-;_-[$R$-416]\ * &quot;-&quot;??_-;_-@_-"/>
    <numFmt numFmtId="169" formatCode="_-[$R$-416]\ * #,##0.000000000000_-;\-[$R$-416]\ * #,##0.000000000000_-;_-[$R$-416]\ * &quot;-&quot;??_-;_-@_-"/>
    <numFmt numFmtId="170" formatCode="0.00000000"/>
    <numFmt numFmtId="171" formatCode="&quot;R$&quot;\ #,##0.00"/>
    <numFmt numFmtId="172" formatCode="0.000"/>
    <numFmt numFmtId="173" formatCode="_-[$R$-416]\ * #,##0.000000000_-;\-[$R$-416]\ * #,##0.000000000_-;_-[$R$-416]\ * &quot;-&quot;??_-;_-@_-"/>
  </numFmts>
  <fonts count="1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2" fillId="3" borderId="3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167" fontId="1" fillId="3" borderId="3" xfId="0" applyNumberFormat="1" applyFont="1" applyFill="1" applyBorder="1" applyAlignment="1">
      <alignment horizontal="center" vertical="center" wrapText="1" readingOrder="1"/>
    </xf>
    <xf numFmtId="164" fontId="2" fillId="3" borderId="3" xfId="0" applyNumberFormat="1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164" fontId="1" fillId="3" borderId="3" xfId="0" applyNumberFormat="1" applyFont="1" applyFill="1" applyBorder="1" applyAlignment="1">
      <alignment horizontal="center" vertical="center" wrapText="1" readingOrder="1"/>
    </xf>
    <xf numFmtId="166" fontId="1" fillId="3" borderId="3" xfId="0" applyNumberFormat="1" applyFont="1" applyFill="1" applyBorder="1" applyAlignment="1">
      <alignment horizontal="center" vertical="center" wrapText="1" readingOrder="1"/>
    </xf>
    <xf numFmtId="165" fontId="1" fillId="3" borderId="3" xfId="0" applyNumberFormat="1" applyFont="1" applyFill="1" applyBorder="1" applyAlignment="1">
      <alignment horizontal="center" vertical="center" wrapText="1" readingOrder="1"/>
    </xf>
    <xf numFmtId="170" fontId="2" fillId="3" borderId="3" xfId="0" applyNumberFormat="1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164" fontId="2" fillId="3" borderId="3" xfId="0" applyNumberFormat="1" applyFont="1" applyFill="1" applyBorder="1" applyAlignment="1">
      <alignment horizontal="left" vertical="center" wrapText="1" readingOrder="1"/>
    </xf>
    <xf numFmtId="3" fontId="1" fillId="3" borderId="3" xfId="0" applyNumberFormat="1" applyFont="1" applyFill="1" applyBorder="1" applyAlignment="1">
      <alignment horizontal="center" vertical="center" wrapText="1" readingOrder="1"/>
    </xf>
    <xf numFmtId="168" fontId="1" fillId="3" borderId="3" xfId="0" applyNumberFormat="1" applyFont="1" applyFill="1" applyBorder="1" applyAlignment="1">
      <alignment horizontal="center" vertical="center" wrapText="1" readingOrder="1"/>
    </xf>
    <xf numFmtId="164" fontId="6" fillId="3" borderId="3" xfId="0" applyNumberFormat="1" applyFont="1" applyFill="1" applyBorder="1" applyAlignment="1">
      <alignment horizontal="center" vertical="center" wrapText="1" readingOrder="1"/>
    </xf>
    <xf numFmtId="8" fontId="1" fillId="3" borderId="3" xfId="0" applyNumberFormat="1" applyFont="1" applyFill="1" applyBorder="1" applyAlignment="1">
      <alignment horizontal="center" vertical="center" wrapText="1" readingOrder="1"/>
    </xf>
    <xf numFmtId="171" fontId="1" fillId="3" borderId="3" xfId="0" applyNumberFormat="1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164" fontId="0" fillId="0" borderId="3" xfId="0" applyNumberFormat="1" applyBorder="1"/>
    <xf numFmtId="164" fontId="8" fillId="0" borderId="0" xfId="0" applyNumberFormat="1" applyFont="1"/>
    <xf numFmtId="0" fontId="9" fillId="2" borderId="3" xfId="0" applyFont="1" applyFill="1" applyBorder="1" applyAlignment="1">
      <alignment horizontal="center" vertical="center" wrapText="1" readingOrder="1"/>
    </xf>
    <xf numFmtId="168" fontId="5" fillId="3" borderId="3" xfId="0" applyNumberFormat="1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164" fontId="10" fillId="3" borderId="3" xfId="0" applyNumberFormat="1" applyFont="1" applyFill="1" applyBorder="1" applyAlignment="1">
      <alignment horizontal="center" vertical="center" wrapText="1" readingOrder="1"/>
    </xf>
    <xf numFmtId="166" fontId="5" fillId="3" borderId="3" xfId="0" applyNumberFormat="1" applyFont="1" applyFill="1" applyBorder="1" applyAlignment="1">
      <alignment horizontal="center" vertical="center" wrapText="1" readingOrder="1"/>
    </xf>
    <xf numFmtId="171" fontId="5" fillId="3" borderId="3" xfId="0" applyNumberFormat="1" applyFont="1" applyFill="1" applyBorder="1" applyAlignment="1">
      <alignment horizontal="center" vertical="center" wrapText="1" readingOrder="1"/>
    </xf>
    <xf numFmtId="169" fontId="5" fillId="3" borderId="3" xfId="0" applyNumberFormat="1" applyFont="1" applyFill="1" applyBorder="1" applyAlignment="1">
      <alignment horizontal="center" vertical="center" wrapText="1" readingOrder="1"/>
    </xf>
    <xf numFmtId="165" fontId="5" fillId="3" borderId="3" xfId="0" applyNumberFormat="1" applyFont="1" applyFill="1" applyBorder="1" applyAlignment="1">
      <alignment horizontal="center" vertical="center" wrapText="1" readingOrder="1"/>
    </xf>
    <xf numFmtId="1" fontId="0" fillId="0" borderId="3" xfId="0" applyNumberFormat="1" applyBorder="1" applyAlignment="1">
      <alignment vertical="center"/>
    </xf>
    <xf numFmtId="44" fontId="0" fillId="0" borderId="3" xfId="0" applyNumberFormat="1" applyBorder="1"/>
    <xf numFmtId="0" fontId="3" fillId="2" borderId="3" xfId="0" applyFont="1" applyFill="1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/>
    </xf>
    <xf numFmtId="172" fontId="2" fillId="3" borderId="3" xfId="0" applyNumberFormat="1" applyFont="1" applyFill="1" applyBorder="1" applyAlignment="1">
      <alignment horizontal="center" vertical="center" wrapText="1" readingOrder="1"/>
    </xf>
    <xf numFmtId="44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73" fontId="5" fillId="0" borderId="3" xfId="0" applyNumberFormat="1" applyFont="1" applyBorder="1" applyAlignment="1">
      <alignment horizontal="center" vertical="center" wrapText="1" readingOrder="1"/>
    </xf>
    <xf numFmtId="164" fontId="5" fillId="3" borderId="3" xfId="0" applyNumberFormat="1" applyFont="1" applyFill="1" applyBorder="1" applyAlignment="1">
      <alignment horizontal="center" vertical="center" wrapText="1" readingOrder="1"/>
    </xf>
    <xf numFmtId="168" fontId="6" fillId="3" borderId="3" xfId="0" applyNumberFormat="1" applyFont="1" applyFill="1" applyBorder="1" applyAlignment="1">
      <alignment horizontal="center" vertical="center" wrapText="1" readingOrder="1"/>
    </xf>
    <xf numFmtId="0" fontId="0" fillId="3" borderId="0" xfId="0" applyFill="1"/>
    <xf numFmtId="167" fontId="0" fillId="0" borderId="3" xfId="0" applyNumberFormat="1" applyBorder="1"/>
    <xf numFmtId="166" fontId="10" fillId="3" borderId="3" xfId="0" applyNumberFormat="1" applyFont="1" applyFill="1" applyBorder="1" applyAlignment="1">
      <alignment horizontal="center" vertical="center" wrapText="1" readingOrder="1"/>
    </xf>
    <xf numFmtId="166" fontId="6" fillId="3" borderId="3" xfId="0" applyNumberFormat="1" applyFont="1" applyFill="1" applyBorder="1" applyAlignment="1">
      <alignment horizontal="center" vertical="center" wrapText="1" readingOrder="1"/>
    </xf>
    <xf numFmtId="165" fontId="6" fillId="3" borderId="3" xfId="0" applyNumberFormat="1" applyFont="1" applyFill="1" applyBorder="1" applyAlignment="1">
      <alignment horizontal="center" vertical="center" wrapText="1" readingOrder="1"/>
    </xf>
    <xf numFmtId="165" fontId="1" fillId="0" borderId="3" xfId="0" applyNumberFormat="1" applyFont="1" applyBorder="1" applyAlignment="1">
      <alignment horizontal="center" vertical="center" wrapText="1" readingOrder="1"/>
    </xf>
    <xf numFmtId="170" fontId="2" fillId="2" borderId="3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164" fontId="0" fillId="0" borderId="3" xfId="0" applyNumberFormat="1" applyBorder="1" applyAlignment="1">
      <alignment horizontal="center" vertical="center"/>
    </xf>
    <xf numFmtId="44" fontId="13" fillId="3" borderId="3" xfId="0" applyNumberFormat="1" applyFont="1" applyFill="1" applyBorder="1" applyAlignment="1">
      <alignment horizontal="center" vertical="center" wrapText="1" readingOrder="1"/>
    </xf>
    <xf numFmtId="0" fontId="1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left" vertical="center" wrapText="1" readingOrder="1"/>
    </xf>
    <xf numFmtId="167" fontId="1" fillId="4" borderId="3" xfId="0" applyNumberFormat="1" applyFont="1" applyFill="1" applyBorder="1" applyAlignment="1">
      <alignment horizontal="center" vertical="center" wrapText="1" readingOrder="1"/>
    </xf>
    <xf numFmtId="164" fontId="2" fillId="4" borderId="3" xfId="0" applyNumberFormat="1" applyFont="1" applyFill="1" applyBorder="1" applyAlignment="1">
      <alignment horizontal="center" vertical="center" wrapText="1" readingOrder="1"/>
    </xf>
    <xf numFmtId="164" fontId="15" fillId="6" borderId="3" xfId="0" applyNumberFormat="1" applyFont="1" applyFill="1" applyBorder="1"/>
    <xf numFmtId="164" fontId="14" fillId="0" borderId="3" xfId="0" applyNumberFormat="1" applyFont="1" applyBorder="1"/>
    <xf numFmtId="164" fontId="3" fillId="7" borderId="3" xfId="0" applyNumberFormat="1" applyFont="1" applyFill="1" applyBorder="1"/>
    <xf numFmtId="44" fontId="3" fillId="7" borderId="3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righ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0" fillId="3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 readingOrder="1"/>
    </xf>
    <xf numFmtId="0" fontId="9" fillId="2" borderId="6" xfId="0" applyFont="1" applyFill="1" applyBorder="1" applyAlignment="1">
      <alignment horizontal="center" vertical="center" wrapText="1" readingOrder="1"/>
    </xf>
    <xf numFmtId="0" fontId="15" fillId="6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7913-5CD2-4465-B10D-B4A453CA31DE}">
  <dimension ref="A1:F25"/>
  <sheetViews>
    <sheetView tabSelected="1" workbookViewId="0">
      <selection activeCell="G4" sqref="G4"/>
    </sheetView>
  </sheetViews>
  <sheetFormatPr defaultRowHeight="15" x14ac:dyDescent="0.25"/>
  <cols>
    <col min="1" max="1" width="16.42578125" customWidth="1"/>
    <col min="2" max="2" width="32.28515625" customWidth="1"/>
    <col min="3" max="3" width="12.42578125" customWidth="1"/>
    <col min="4" max="4" width="13.5703125" bestFit="1" customWidth="1"/>
    <col min="5" max="5" width="16.28515625" customWidth="1"/>
    <col min="6" max="6" width="17.140625" customWidth="1"/>
    <col min="7" max="7" width="41.140625" customWidth="1"/>
  </cols>
  <sheetData>
    <row r="1" spans="1:6" ht="23.25" x14ac:dyDescent="0.35">
      <c r="B1" s="91" t="s">
        <v>242</v>
      </c>
      <c r="C1" s="91"/>
      <c r="D1" s="91"/>
      <c r="E1" s="91"/>
    </row>
    <row r="2" spans="1:6" ht="36.75" customHeight="1" x14ac:dyDescent="0.25">
      <c r="B2" s="92" t="s">
        <v>244</v>
      </c>
      <c r="C2" s="92"/>
      <c r="D2" s="92"/>
      <c r="E2" s="92"/>
    </row>
    <row r="3" spans="1:6" x14ac:dyDescent="0.25">
      <c r="B3" s="65">
        <v>1</v>
      </c>
      <c r="C3" s="73" t="s">
        <v>34</v>
      </c>
      <c r="D3" s="73"/>
      <c r="E3" s="73"/>
    </row>
    <row r="4" spans="1:6" x14ac:dyDescent="0.25">
      <c r="B4" s="65">
        <v>2</v>
      </c>
      <c r="C4" s="73" t="s">
        <v>79</v>
      </c>
      <c r="D4" s="73"/>
      <c r="E4" s="73"/>
    </row>
    <row r="5" spans="1:6" x14ac:dyDescent="0.25">
      <c r="B5" s="65">
        <v>3</v>
      </c>
      <c r="C5" s="73" t="s">
        <v>82</v>
      </c>
      <c r="D5" s="73"/>
      <c r="E5" s="73"/>
    </row>
    <row r="6" spans="1:6" x14ac:dyDescent="0.25">
      <c r="B6" s="65">
        <v>4</v>
      </c>
      <c r="C6" s="73" t="s">
        <v>83</v>
      </c>
      <c r="D6" s="73"/>
      <c r="E6" s="73"/>
    </row>
    <row r="7" spans="1:6" x14ac:dyDescent="0.25">
      <c r="B7" s="65">
        <v>5</v>
      </c>
      <c r="C7" s="73" t="s">
        <v>16</v>
      </c>
      <c r="D7" s="73"/>
      <c r="E7" s="73"/>
    </row>
    <row r="8" spans="1:6" x14ac:dyDescent="0.25">
      <c r="B8" s="65">
        <v>6</v>
      </c>
      <c r="C8" s="73" t="s">
        <v>35</v>
      </c>
      <c r="D8" s="73"/>
      <c r="E8" s="73"/>
    </row>
    <row r="9" spans="1:6" x14ac:dyDescent="0.25">
      <c r="B9" s="65">
        <v>7</v>
      </c>
      <c r="C9" s="73" t="s">
        <v>90</v>
      </c>
      <c r="D9" s="73"/>
      <c r="E9" s="73"/>
    </row>
    <row r="11" spans="1:6" ht="23.25" customHeight="1" x14ac:dyDescent="0.25">
      <c r="A11" s="74" t="s">
        <v>243</v>
      </c>
      <c r="B11" s="74"/>
      <c r="C11" s="74"/>
      <c r="D11" s="74"/>
      <c r="E11" s="74"/>
      <c r="F11" s="74"/>
    </row>
    <row r="12" spans="1:6" ht="15.75" x14ac:dyDescent="0.25">
      <c r="A12" s="76" t="s">
        <v>202</v>
      </c>
      <c r="B12" s="76"/>
      <c r="C12" s="77"/>
      <c r="D12" s="77"/>
      <c r="E12" s="77"/>
      <c r="F12" s="77"/>
    </row>
    <row r="13" spans="1:6" ht="15.75" x14ac:dyDescent="0.25">
      <c r="A13" s="76" t="s">
        <v>203</v>
      </c>
      <c r="B13" s="76"/>
      <c r="C13" s="78"/>
      <c r="D13" s="78"/>
      <c r="E13" s="78"/>
      <c r="F13" s="78"/>
    </row>
    <row r="14" spans="1:6" ht="15.75" x14ac:dyDescent="0.25">
      <c r="A14" s="76" t="s">
        <v>204</v>
      </c>
      <c r="B14" s="76"/>
      <c r="C14" s="78"/>
      <c r="D14" s="78"/>
      <c r="E14" s="78"/>
      <c r="F14" s="78"/>
    </row>
    <row r="15" spans="1:6" ht="15.75" x14ac:dyDescent="0.25">
      <c r="A15" s="76" t="s">
        <v>205</v>
      </c>
      <c r="B15" s="76"/>
      <c r="C15" s="78"/>
      <c r="D15" s="78"/>
      <c r="E15" s="78"/>
      <c r="F15" s="78"/>
    </row>
    <row r="16" spans="1:6" ht="15.75" x14ac:dyDescent="0.25">
      <c r="A16" s="76" t="s">
        <v>206</v>
      </c>
      <c r="B16" s="76"/>
      <c r="C16" s="78"/>
      <c r="D16" s="78"/>
      <c r="E16" s="78"/>
      <c r="F16" s="78"/>
    </row>
    <row r="17" spans="1:6" ht="15.75" x14ac:dyDescent="0.25">
      <c r="A17" s="76" t="s">
        <v>207</v>
      </c>
      <c r="B17" s="76"/>
      <c r="C17" s="78"/>
      <c r="D17" s="78"/>
      <c r="E17" s="78"/>
      <c r="F17" s="78"/>
    </row>
    <row r="18" spans="1:6" x14ac:dyDescent="0.25">
      <c r="B18" s="52"/>
      <c r="C18" s="52"/>
      <c r="D18" s="52"/>
      <c r="E18" s="52"/>
      <c r="F18" s="52"/>
    </row>
    <row r="19" spans="1:6" ht="23.25" customHeight="1" x14ac:dyDescent="0.25">
      <c r="A19" s="74" t="s">
        <v>209</v>
      </c>
      <c r="B19" s="74"/>
      <c r="C19" s="74"/>
      <c r="D19" s="74"/>
      <c r="E19" s="74"/>
      <c r="F19" s="74"/>
    </row>
    <row r="20" spans="1:6" ht="31.5" x14ac:dyDescent="0.25">
      <c r="A20" s="63" t="s">
        <v>236</v>
      </c>
      <c r="B20" s="60" t="s">
        <v>237</v>
      </c>
      <c r="C20" s="60" t="s">
        <v>167</v>
      </c>
      <c r="D20" s="60" t="s">
        <v>170</v>
      </c>
      <c r="E20" s="60" t="s">
        <v>234</v>
      </c>
      <c r="F20" s="60" t="s">
        <v>235</v>
      </c>
    </row>
    <row r="21" spans="1:6" ht="47.25" x14ac:dyDescent="0.25">
      <c r="A21" s="64">
        <v>1</v>
      </c>
      <c r="B21" s="13" t="s">
        <v>238</v>
      </c>
      <c r="C21" s="9">
        <v>1</v>
      </c>
      <c r="D21" s="9" t="s">
        <v>170</v>
      </c>
      <c r="E21" s="62">
        <f>'Cálculo final'!D24</f>
        <v>0</v>
      </c>
      <c r="F21" s="61">
        <f>'Cálculo final'!E24</f>
        <v>0</v>
      </c>
    </row>
    <row r="22" spans="1:6" ht="63" x14ac:dyDescent="0.25">
      <c r="A22" s="64">
        <v>2</v>
      </c>
      <c r="B22" s="13" t="s">
        <v>239</v>
      </c>
      <c r="C22" s="9">
        <v>26280</v>
      </c>
      <c r="D22" s="9" t="s">
        <v>171</v>
      </c>
      <c r="E22" s="62">
        <f>'Cálculo final'!D25</f>
        <v>0</v>
      </c>
      <c r="F22" s="61">
        <f>'Cálculo final'!E25</f>
        <v>0</v>
      </c>
    </row>
    <row r="23" spans="1:6" ht="31.5" x14ac:dyDescent="0.25">
      <c r="A23" s="64">
        <v>3</v>
      </c>
      <c r="B23" s="13" t="s">
        <v>240</v>
      </c>
      <c r="C23" s="9">
        <v>26280</v>
      </c>
      <c r="D23" s="9" t="s">
        <v>171</v>
      </c>
      <c r="E23" s="62">
        <f>'Cálculo final'!D26</f>
        <v>0</v>
      </c>
      <c r="F23" s="61">
        <f>'Cálculo final'!E26</f>
        <v>0</v>
      </c>
    </row>
    <row r="24" spans="1:6" ht="15.75" x14ac:dyDescent="0.25">
      <c r="A24" s="64">
        <v>4</v>
      </c>
      <c r="B24" s="13" t="s">
        <v>241</v>
      </c>
      <c r="C24" s="9">
        <v>100</v>
      </c>
      <c r="D24" s="9" t="s">
        <v>172</v>
      </c>
      <c r="E24" s="62">
        <f>'Cálculo final'!D27</f>
        <v>0</v>
      </c>
      <c r="F24" s="61">
        <f>'Cálculo final'!E27</f>
        <v>0</v>
      </c>
    </row>
    <row r="25" spans="1:6" ht="15.75" x14ac:dyDescent="0.25">
      <c r="A25" s="75" t="s">
        <v>208</v>
      </c>
      <c r="B25" s="75"/>
      <c r="C25" s="75"/>
      <c r="D25" s="75"/>
      <c r="E25" s="75"/>
      <c r="F25" s="70">
        <f>SUM(F21:F24)</f>
        <v>0</v>
      </c>
    </row>
  </sheetData>
  <mergeCells count="24">
    <mergeCell ref="A19:F19"/>
    <mergeCell ref="A25:E25"/>
    <mergeCell ref="A11:F11"/>
    <mergeCell ref="C3:E3"/>
    <mergeCell ref="A12:B12"/>
    <mergeCell ref="A13:B13"/>
    <mergeCell ref="A14:B14"/>
    <mergeCell ref="A15:B15"/>
    <mergeCell ref="A16:B16"/>
    <mergeCell ref="A17:B17"/>
    <mergeCell ref="C12:F12"/>
    <mergeCell ref="C13:F13"/>
    <mergeCell ref="C14:F14"/>
    <mergeCell ref="C15:F15"/>
    <mergeCell ref="C16:F16"/>
    <mergeCell ref="C17:F17"/>
    <mergeCell ref="B1:E1"/>
    <mergeCell ref="C6:E6"/>
    <mergeCell ref="C7:E7"/>
    <mergeCell ref="C8:E8"/>
    <mergeCell ref="C9:E9"/>
    <mergeCell ref="B2:E2"/>
    <mergeCell ref="C4:E4"/>
    <mergeCell ref="C5:E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6D3A-1587-4E11-95D0-CF971EDF71C4}">
  <dimension ref="A1:C12"/>
  <sheetViews>
    <sheetView workbookViewId="0">
      <selection activeCell="C3" sqref="C3"/>
    </sheetView>
  </sheetViews>
  <sheetFormatPr defaultRowHeight="15" x14ac:dyDescent="0.25"/>
  <cols>
    <col min="1" max="1" width="61.7109375" customWidth="1"/>
    <col min="2" max="2" width="21.5703125" customWidth="1"/>
    <col min="3" max="3" width="14.7109375" customWidth="1"/>
    <col min="4" max="4" width="12.5703125" customWidth="1"/>
  </cols>
  <sheetData>
    <row r="1" spans="1:3" ht="23.25" x14ac:dyDescent="0.25">
      <c r="A1" s="74" t="s">
        <v>191</v>
      </c>
      <c r="B1" s="74"/>
      <c r="C1" s="74"/>
    </row>
    <row r="2" spans="1:3" s="1" customFormat="1" ht="63" x14ac:dyDescent="0.25">
      <c r="A2" s="12" t="s">
        <v>95</v>
      </c>
      <c r="B2" s="12" t="s">
        <v>211</v>
      </c>
      <c r="C2" s="59" t="s">
        <v>210</v>
      </c>
    </row>
    <row r="3" spans="1:3" ht="129.75" customHeight="1" x14ac:dyDescent="0.25">
      <c r="A3" s="13" t="s">
        <v>154</v>
      </c>
      <c r="B3" s="21">
        <v>48633.21333333334</v>
      </c>
      <c r="C3" s="66"/>
    </row>
    <row r="12" spans="1:3" x14ac:dyDescent="0.25">
      <c r="C12" s="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zoomScale="85" zoomScaleNormal="85" workbookViewId="0">
      <selection activeCell="I3" sqref="I3:I11"/>
    </sheetView>
  </sheetViews>
  <sheetFormatPr defaultRowHeight="15" x14ac:dyDescent="0.25"/>
  <cols>
    <col min="1" max="1" width="17.28515625" style="6" customWidth="1"/>
    <col min="2" max="2" width="7.5703125" style="6" customWidth="1"/>
    <col min="3" max="3" width="6.7109375" style="6" customWidth="1"/>
    <col min="4" max="4" width="10" style="6" customWidth="1"/>
    <col min="5" max="5" width="9.85546875" style="6" customWidth="1"/>
    <col min="6" max="6" width="7.5703125" style="6" customWidth="1"/>
    <col min="7" max="7" width="7.28515625" style="6" customWidth="1"/>
    <col min="8" max="10" width="15.5703125" style="6" customWidth="1"/>
    <col min="11" max="11" width="11.85546875" style="6" customWidth="1"/>
    <col min="12" max="12" width="17.5703125" style="6" customWidth="1"/>
    <col min="13" max="13" width="8" style="6" customWidth="1"/>
    <col min="14" max="14" width="7.7109375" style="6" customWidth="1"/>
    <col min="15" max="16" width="11.85546875" style="6" customWidth="1"/>
    <col min="17" max="17" width="13.5703125" style="6" customWidth="1"/>
    <col min="18" max="18" width="19.28515625" style="6" customWidth="1"/>
    <col min="19" max="19" width="12.85546875" style="6" customWidth="1"/>
    <col min="20" max="20" width="18.5703125" style="6" customWidth="1"/>
    <col min="21" max="16384" width="9.140625" style="6"/>
  </cols>
  <sheetData>
    <row r="1" spans="1:20" ht="48.75" customHeight="1" x14ac:dyDescent="0.25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  <c r="L1" s="74" t="s">
        <v>67</v>
      </c>
      <c r="M1" s="74"/>
      <c r="N1" s="74"/>
      <c r="O1" s="74"/>
      <c r="P1" s="74"/>
      <c r="Q1" s="74"/>
      <c r="R1" s="74"/>
      <c r="S1" s="74"/>
      <c r="T1" s="74"/>
    </row>
    <row r="2" spans="1:20" ht="47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93</v>
      </c>
      <c r="G2" s="12" t="s">
        <v>94</v>
      </c>
      <c r="H2" s="12" t="s">
        <v>213</v>
      </c>
      <c r="I2" s="12" t="s">
        <v>229</v>
      </c>
      <c r="J2" s="12" t="s">
        <v>89</v>
      </c>
      <c r="L2" s="12" t="s">
        <v>0</v>
      </c>
      <c r="M2" s="15" t="s">
        <v>1</v>
      </c>
      <c r="N2" s="15" t="s">
        <v>2</v>
      </c>
      <c r="O2" s="15" t="s">
        <v>3</v>
      </c>
      <c r="P2" s="15" t="s">
        <v>4</v>
      </c>
      <c r="Q2" s="15" t="s">
        <v>106</v>
      </c>
      <c r="R2" s="15" t="s">
        <v>97</v>
      </c>
      <c r="S2" s="15" t="s">
        <v>100</v>
      </c>
      <c r="T2" s="15" t="s">
        <v>102</v>
      </c>
    </row>
    <row r="3" spans="1:20" ht="31.5" x14ac:dyDescent="0.25">
      <c r="A3" s="13" t="s">
        <v>5</v>
      </c>
      <c r="B3" s="9" t="s">
        <v>6</v>
      </c>
      <c r="C3" s="9">
        <v>2</v>
      </c>
      <c r="D3" s="9">
        <v>4</v>
      </c>
      <c r="E3" s="9" t="s">
        <v>41</v>
      </c>
      <c r="F3" s="9">
        <v>1</v>
      </c>
      <c r="G3" s="9">
        <v>8</v>
      </c>
      <c r="H3" s="10">
        <v>0.60150000000000003</v>
      </c>
      <c r="I3" s="67"/>
      <c r="J3" s="8" t="e">
        <f>I3/'Cálculo final'!$B$12</f>
        <v>#DIV/0!</v>
      </c>
      <c r="L3" s="14" t="s">
        <v>5</v>
      </c>
      <c r="M3" s="9" t="s">
        <v>6</v>
      </c>
      <c r="N3" s="9">
        <v>2</v>
      </c>
      <c r="O3" s="9">
        <v>4</v>
      </c>
      <c r="P3" s="9" t="s">
        <v>41</v>
      </c>
      <c r="Q3" s="16">
        <f t="shared" ref="Q3:Q11" si="0">F3*I3</f>
        <v>0</v>
      </c>
      <c r="R3" s="16">
        <f>24*365*3*Q3</f>
        <v>0</v>
      </c>
      <c r="S3" s="16">
        <f t="shared" ref="S3:S11" si="1">G3*I3</f>
        <v>0</v>
      </c>
      <c r="T3" s="16">
        <f>24*365*3*S3</f>
        <v>0</v>
      </c>
    </row>
    <row r="4" spans="1:20" ht="31.5" x14ac:dyDescent="0.25">
      <c r="A4" s="13" t="s">
        <v>7</v>
      </c>
      <c r="B4" s="9" t="s">
        <v>8</v>
      </c>
      <c r="C4" s="9">
        <v>1</v>
      </c>
      <c r="D4" s="9">
        <v>2</v>
      </c>
      <c r="E4" s="9" t="s">
        <v>41</v>
      </c>
      <c r="F4" s="9">
        <v>1</v>
      </c>
      <c r="G4" s="9">
        <v>2</v>
      </c>
      <c r="H4" s="10">
        <v>0.31773333333333337</v>
      </c>
      <c r="I4" s="67"/>
      <c r="J4" s="8" t="e">
        <f>I4/'Cálculo final'!$B$12</f>
        <v>#DIV/0!</v>
      </c>
      <c r="K4" s="7"/>
      <c r="L4" s="14" t="s">
        <v>7</v>
      </c>
      <c r="M4" s="9" t="s">
        <v>8</v>
      </c>
      <c r="N4" s="9">
        <v>1</v>
      </c>
      <c r="O4" s="9">
        <v>2</v>
      </c>
      <c r="P4" s="9" t="s">
        <v>41</v>
      </c>
      <c r="Q4" s="16">
        <f t="shared" si="0"/>
        <v>0</v>
      </c>
      <c r="R4" s="16">
        <f t="shared" ref="R4:T10" si="2">24*365*3*Q4</f>
        <v>0</v>
      </c>
      <c r="S4" s="16">
        <f t="shared" si="1"/>
        <v>0</v>
      </c>
      <c r="T4" s="16">
        <f t="shared" si="2"/>
        <v>0</v>
      </c>
    </row>
    <row r="5" spans="1:20" ht="47.25" x14ac:dyDescent="0.25">
      <c r="A5" s="13" t="s">
        <v>9</v>
      </c>
      <c r="B5" s="9" t="s">
        <v>8</v>
      </c>
      <c r="C5" s="9">
        <v>4</v>
      </c>
      <c r="D5" s="9">
        <v>4</v>
      </c>
      <c r="E5" s="9" t="s">
        <v>41</v>
      </c>
      <c r="F5" s="9">
        <v>1</v>
      </c>
      <c r="G5" s="9">
        <v>1</v>
      </c>
      <c r="H5" s="10">
        <v>3.0690666666666666</v>
      </c>
      <c r="I5" s="67"/>
      <c r="J5" s="8" t="e">
        <f>I5/'Cálculo final'!$B$12</f>
        <v>#DIV/0!</v>
      </c>
      <c r="L5" s="14" t="s">
        <v>9</v>
      </c>
      <c r="M5" s="9" t="s">
        <v>8</v>
      </c>
      <c r="N5" s="9">
        <v>4</v>
      </c>
      <c r="O5" s="9">
        <v>4</v>
      </c>
      <c r="P5" s="9" t="s">
        <v>41</v>
      </c>
      <c r="Q5" s="16">
        <f t="shared" si="0"/>
        <v>0</v>
      </c>
      <c r="R5" s="16">
        <f t="shared" si="2"/>
        <v>0</v>
      </c>
      <c r="S5" s="16">
        <f t="shared" si="1"/>
        <v>0</v>
      </c>
      <c r="T5" s="16">
        <f t="shared" si="2"/>
        <v>0</v>
      </c>
    </row>
    <row r="6" spans="1:20" ht="47.25" x14ac:dyDescent="0.25">
      <c r="A6" s="13" t="s">
        <v>9</v>
      </c>
      <c r="B6" s="9" t="s">
        <v>8</v>
      </c>
      <c r="C6" s="9">
        <v>8</v>
      </c>
      <c r="D6" s="9">
        <v>16</v>
      </c>
      <c r="E6" s="9" t="s">
        <v>41</v>
      </c>
      <c r="F6" s="9">
        <v>0</v>
      </c>
      <c r="G6" s="9">
        <v>1</v>
      </c>
      <c r="H6" s="10">
        <v>8.1796000000000006</v>
      </c>
      <c r="I6" s="67"/>
      <c r="J6" s="8" t="e">
        <f>I6/'Cálculo final'!$B$12</f>
        <v>#DIV/0!</v>
      </c>
      <c r="L6" s="14" t="s">
        <v>9</v>
      </c>
      <c r="M6" s="9" t="s">
        <v>8</v>
      </c>
      <c r="N6" s="9">
        <v>8</v>
      </c>
      <c r="O6" s="9">
        <v>16</v>
      </c>
      <c r="P6" s="9" t="s">
        <v>41</v>
      </c>
      <c r="Q6" s="16">
        <f t="shared" si="0"/>
        <v>0</v>
      </c>
      <c r="R6" s="16">
        <f t="shared" si="2"/>
        <v>0</v>
      </c>
      <c r="S6" s="16">
        <f t="shared" si="1"/>
        <v>0</v>
      </c>
      <c r="T6" s="16">
        <f t="shared" si="2"/>
        <v>0</v>
      </c>
    </row>
    <row r="7" spans="1:20" ht="47.25" x14ac:dyDescent="0.25">
      <c r="A7" s="13" t="s">
        <v>9</v>
      </c>
      <c r="B7" s="9" t="s">
        <v>8</v>
      </c>
      <c r="C7" s="9">
        <v>8</v>
      </c>
      <c r="D7" s="9">
        <v>32</v>
      </c>
      <c r="E7" s="9" t="s">
        <v>41</v>
      </c>
      <c r="F7" s="9">
        <v>0</v>
      </c>
      <c r="G7" s="9">
        <v>1</v>
      </c>
      <c r="H7" s="10">
        <v>11.179066666666666</v>
      </c>
      <c r="I7" s="67"/>
      <c r="J7" s="8" t="e">
        <f>I7/'Cálculo final'!$B$12</f>
        <v>#DIV/0!</v>
      </c>
      <c r="L7" s="14" t="s">
        <v>9</v>
      </c>
      <c r="M7" s="9" t="s">
        <v>8</v>
      </c>
      <c r="N7" s="9">
        <v>8</v>
      </c>
      <c r="O7" s="9">
        <v>32</v>
      </c>
      <c r="P7" s="9" t="s">
        <v>41</v>
      </c>
      <c r="Q7" s="16">
        <f t="shared" si="0"/>
        <v>0</v>
      </c>
      <c r="R7" s="16">
        <f t="shared" si="2"/>
        <v>0</v>
      </c>
      <c r="S7" s="16">
        <f t="shared" si="1"/>
        <v>0</v>
      </c>
      <c r="T7" s="16">
        <f t="shared" si="2"/>
        <v>0</v>
      </c>
    </row>
    <row r="8" spans="1:20" ht="63" x14ac:dyDescent="0.25">
      <c r="A8" s="13" t="s">
        <v>10</v>
      </c>
      <c r="B8" s="9" t="s">
        <v>6</v>
      </c>
      <c r="C8" s="9">
        <v>2</v>
      </c>
      <c r="D8" s="9">
        <v>4</v>
      </c>
      <c r="E8" s="9" t="s">
        <v>41</v>
      </c>
      <c r="F8" s="9">
        <v>1</v>
      </c>
      <c r="G8" s="9">
        <v>1</v>
      </c>
      <c r="H8" s="10">
        <v>0.60150000000000003</v>
      </c>
      <c r="I8" s="67"/>
      <c r="J8" s="8" t="e">
        <f>I8/'Cálculo final'!$B$12</f>
        <v>#DIV/0!</v>
      </c>
      <c r="L8" s="14" t="s">
        <v>10</v>
      </c>
      <c r="M8" s="9" t="s">
        <v>6</v>
      </c>
      <c r="N8" s="9">
        <v>2</v>
      </c>
      <c r="O8" s="9">
        <v>4</v>
      </c>
      <c r="P8" s="9" t="s">
        <v>41</v>
      </c>
      <c r="Q8" s="16">
        <f t="shared" si="0"/>
        <v>0</v>
      </c>
      <c r="R8" s="16">
        <f>24*365*3*Q8</f>
        <v>0</v>
      </c>
      <c r="S8" s="16">
        <f t="shared" si="1"/>
        <v>0</v>
      </c>
      <c r="T8" s="16">
        <f t="shared" si="2"/>
        <v>0</v>
      </c>
    </row>
    <row r="9" spans="1:20" ht="31.5" x14ac:dyDescent="0.25">
      <c r="A9" s="13" t="s">
        <v>36</v>
      </c>
      <c r="B9" s="9" t="s">
        <v>6</v>
      </c>
      <c r="C9" s="9">
        <v>2</v>
      </c>
      <c r="D9" s="9">
        <v>4</v>
      </c>
      <c r="E9" s="9" t="s">
        <v>41</v>
      </c>
      <c r="F9" s="9">
        <v>1</v>
      </c>
      <c r="G9" s="9">
        <v>1</v>
      </c>
      <c r="H9" s="10">
        <v>0.60150000000000003</v>
      </c>
      <c r="I9" s="67"/>
      <c r="J9" s="8" t="e">
        <f>I9/'Cálculo final'!$B$12</f>
        <v>#DIV/0!</v>
      </c>
      <c r="L9" s="14" t="s">
        <v>36</v>
      </c>
      <c r="M9" s="9" t="s">
        <v>6</v>
      </c>
      <c r="N9" s="9">
        <v>2</v>
      </c>
      <c r="O9" s="9">
        <v>4</v>
      </c>
      <c r="P9" s="9" t="s">
        <v>41</v>
      </c>
      <c r="Q9" s="16">
        <f t="shared" si="0"/>
        <v>0</v>
      </c>
      <c r="R9" s="16">
        <f t="shared" si="2"/>
        <v>0</v>
      </c>
      <c r="S9" s="16">
        <f t="shared" si="1"/>
        <v>0</v>
      </c>
      <c r="T9" s="16">
        <f t="shared" si="2"/>
        <v>0</v>
      </c>
    </row>
    <row r="10" spans="1:20" ht="47.25" x14ac:dyDescent="0.25">
      <c r="A10" s="13" t="s">
        <v>11</v>
      </c>
      <c r="B10" s="9" t="s">
        <v>6</v>
      </c>
      <c r="C10" s="9">
        <v>2</v>
      </c>
      <c r="D10" s="9">
        <v>2</v>
      </c>
      <c r="E10" s="9" t="s">
        <v>41</v>
      </c>
      <c r="F10" s="9">
        <v>1</v>
      </c>
      <c r="G10" s="9">
        <v>2</v>
      </c>
      <c r="H10" s="10">
        <v>0.49773333333333331</v>
      </c>
      <c r="I10" s="67"/>
      <c r="J10" s="8" t="e">
        <f>I10/'Cálculo final'!$B$12</f>
        <v>#DIV/0!</v>
      </c>
      <c r="L10" s="14" t="s">
        <v>11</v>
      </c>
      <c r="M10" s="9" t="s">
        <v>6</v>
      </c>
      <c r="N10" s="9">
        <v>2</v>
      </c>
      <c r="O10" s="9">
        <v>2</v>
      </c>
      <c r="P10" s="9" t="s">
        <v>41</v>
      </c>
      <c r="Q10" s="16">
        <f t="shared" si="0"/>
        <v>0</v>
      </c>
      <c r="R10" s="16">
        <f t="shared" si="2"/>
        <v>0</v>
      </c>
      <c r="S10" s="16">
        <f t="shared" si="1"/>
        <v>0</v>
      </c>
      <c r="T10" s="16">
        <f t="shared" si="2"/>
        <v>0</v>
      </c>
    </row>
    <row r="11" spans="1:20" ht="63" x14ac:dyDescent="0.25">
      <c r="A11" s="13" t="s">
        <v>12</v>
      </c>
      <c r="B11" s="9" t="s">
        <v>13</v>
      </c>
      <c r="C11" s="9">
        <v>2</v>
      </c>
      <c r="D11" s="9">
        <v>2</v>
      </c>
      <c r="E11" s="9" t="s">
        <v>41</v>
      </c>
      <c r="F11" s="9">
        <v>1</v>
      </c>
      <c r="G11" s="9">
        <v>2</v>
      </c>
      <c r="H11" s="10">
        <v>0.42786666666666667</v>
      </c>
      <c r="I11" s="67"/>
      <c r="J11" s="8" t="e">
        <f>I11/'Cálculo final'!$B$12</f>
        <v>#DIV/0!</v>
      </c>
      <c r="L11" s="14" t="s">
        <v>12</v>
      </c>
      <c r="M11" s="9" t="s">
        <v>13</v>
      </c>
      <c r="N11" s="9">
        <v>2</v>
      </c>
      <c r="O11" s="9">
        <v>2</v>
      </c>
      <c r="P11" s="9" t="s">
        <v>41</v>
      </c>
      <c r="Q11" s="16">
        <f t="shared" si="0"/>
        <v>0</v>
      </c>
      <c r="R11" s="16">
        <f>24*365*3*Q11</f>
        <v>0</v>
      </c>
      <c r="S11" s="16">
        <f t="shared" si="1"/>
        <v>0</v>
      </c>
      <c r="T11" s="16">
        <f>24*365*3*S11</f>
        <v>0</v>
      </c>
    </row>
    <row r="12" spans="1:20" ht="63" x14ac:dyDescent="0.25">
      <c r="L12" s="14"/>
      <c r="M12" s="11"/>
      <c r="N12" s="11"/>
      <c r="O12" s="11"/>
      <c r="P12" s="11"/>
      <c r="Q12" s="11" t="s">
        <v>65</v>
      </c>
      <c r="R12" s="11" t="s">
        <v>187</v>
      </c>
      <c r="S12" s="11" t="s">
        <v>63</v>
      </c>
      <c r="T12" s="11" t="s">
        <v>188</v>
      </c>
    </row>
    <row r="13" spans="1:20" ht="15.75" x14ac:dyDescent="0.25">
      <c r="L13" s="14"/>
      <c r="M13" s="11"/>
      <c r="N13" s="11"/>
      <c r="O13" s="11"/>
      <c r="P13" s="11"/>
      <c r="Q13" s="11">
        <f>SUM(Q3:Q11)</f>
        <v>0</v>
      </c>
      <c r="R13" s="11">
        <f>SUM(R3:R11)</f>
        <v>0</v>
      </c>
      <c r="S13" s="11">
        <f>SUM(S3:S11)</f>
        <v>0</v>
      </c>
      <c r="T13" s="11">
        <f>SUM(T3:T11)</f>
        <v>0</v>
      </c>
    </row>
    <row r="14" spans="1:20" x14ac:dyDescent="0.25">
      <c r="R14" s="29"/>
    </row>
  </sheetData>
  <mergeCells count="2">
    <mergeCell ref="A1:J1"/>
    <mergeCell ref="L1:T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D96F-5586-49EA-97DE-36AB37F9AE98}">
  <dimension ref="A1:Q14"/>
  <sheetViews>
    <sheetView zoomScale="115" zoomScaleNormal="115" workbookViewId="0">
      <selection activeCell="I3" sqref="I3:I12"/>
    </sheetView>
  </sheetViews>
  <sheetFormatPr defaultRowHeight="15" x14ac:dyDescent="0.25"/>
  <cols>
    <col min="1" max="1" width="23.28515625" customWidth="1"/>
    <col min="2" max="2" width="16.85546875" customWidth="1"/>
    <col min="3" max="3" width="17" customWidth="1"/>
    <col min="4" max="4" width="20.28515625" hidden="1" customWidth="1"/>
    <col min="5" max="7" width="13.5703125" hidden="1" customWidth="1"/>
    <col min="8" max="10" width="13.85546875" customWidth="1"/>
    <col min="12" max="12" width="12" customWidth="1"/>
    <col min="13" max="13" width="10.5703125" customWidth="1"/>
    <col min="14" max="14" width="12.5703125" customWidth="1"/>
    <col min="15" max="15" width="16.7109375" customWidth="1"/>
    <col min="16" max="16" width="14.5703125" customWidth="1"/>
    <col min="17" max="17" width="16.85546875" customWidth="1"/>
  </cols>
  <sheetData>
    <row r="1" spans="1:17" ht="56.25" customHeight="1" x14ac:dyDescent="0.25">
      <c r="A1" s="74" t="s">
        <v>26</v>
      </c>
      <c r="B1" s="74"/>
      <c r="C1" s="74"/>
      <c r="D1" s="74"/>
      <c r="E1" s="74"/>
      <c r="F1" s="74"/>
      <c r="G1" s="74"/>
      <c r="H1" s="74"/>
      <c r="I1" s="74"/>
      <c r="J1" s="74"/>
      <c r="L1" s="74" t="s">
        <v>66</v>
      </c>
      <c r="M1" s="74"/>
      <c r="N1" s="74"/>
      <c r="O1" s="74"/>
      <c r="P1" s="74"/>
      <c r="Q1" s="74"/>
    </row>
    <row r="2" spans="1:17" ht="63" x14ac:dyDescent="0.25">
      <c r="A2" s="12" t="s">
        <v>0</v>
      </c>
      <c r="B2" s="15" t="s">
        <v>64</v>
      </c>
      <c r="C2" s="15" t="s">
        <v>14</v>
      </c>
      <c r="D2" s="15" t="s">
        <v>122</v>
      </c>
      <c r="E2" s="15" t="s">
        <v>123</v>
      </c>
      <c r="F2" s="15" t="s">
        <v>124</v>
      </c>
      <c r="G2" s="15" t="s">
        <v>192</v>
      </c>
      <c r="H2" s="15" t="s">
        <v>212</v>
      </c>
      <c r="I2" s="15" t="s">
        <v>214</v>
      </c>
      <c r="J2" s="15" t="s">
        <v>89</v>
      </c>
      <c r="L2" s="15" t="s">
        <v>64</v>
      </c>
      <c r="M2" s="15" t="s">
        <v>14</v>
      </c>
      <c r="N2" s="15" t="s">
        <v>104</v>
      </c>
      <c r="O2" s="15" t="s">
        <v>96</v>
      </c>
      <c r="P2" s="15" t="s">
        <v>105</v>
      </c>
      <c r="Q2" s="15" t="s">
        <v>101</v>
      </c>
    </row>
    <row r="3" spans="1:17" ht="31.5" x14ac:dyDescent="0.25">
      <c r="A3" s="14" t="s">
        <v>5</v>
      </c>
      <c r="B3" s="9">
        <f>C3/8</f>
        <v>30</v>
      </c>
      <c r="C3" s="9">
        <v>240</v>
      </c>
      <c r="D3" s="49">
        <v>1.4124509999999999E-6</v>
      </c>
      <c r="E3" s="17">
        <v>1.544</v>
      </c>
      <c r="F3" s="17">
        <v>1.66</v>
      </c>
      <c r="G3" s="17">
        <v>1.03</v>
      </c>
      <c r="H3" s="11">
        <v>1.4113333333333333</v>
      </c>
      <c r="I3" s="68"/>
      <c r="J3" s="8" t="e">
        <f>I3/'Cálculo final'!$B$12</f>
        <v>#DIV/0!</v>
      </c>
      <c r="L3" s="9">
        <f>M3/8</f>
        <v>30</v>
      </c>
      <c r="M3" s="9">
        <v>240</v>
      </c>
      <c r="N3" s="16">
        <f>B3*I3</f>
        <v>0</v>
      </c>
      <c r="O3" s="16">
        <f>12*3*N3</f>
        <v>0</v>
      </c>
      <c r="P3" s="16">
        <f>C3*I3</f>
        <v>0</v>
      </c>
      <c r="Q3" s="16">
        <f>12*3*P3</f>
        <v>0</v>
      </c>
    </row>
    <row r="4" spans="1:17" ht="31.5" x14ac:dyDescent="0.25">
      <c r="A4" s="14" t="s">
        <v>7</v>
      </c>
      <c r="B4" s="9">
        <f t="shared" ref="B4:B12" si="0">C4/8</f>
        <v>7.5</v>
      </c>
      <c r="C4" s="9">
        <v>60</v>
      </c>
      <c r="D4" s="49">
        <v>1.4124509999999999E-6</v>
      </c>
      <c r="E4" s="17">
        <v>1.544</v>
      </c>
      <c r="F4" s="17">
        <v>1.75</v>
      </c>
      <c r="G4" s="17">
        <v>1.04</v>
      </c>
      <c r="H4" s="11">
        <v>1.4446666666666665</v>
      </c>
      <c r="I4" s="68"/>
      <c r="J4" s="8" t="e">
        <f>I4/'Cálculo final'!$B$12</f>
        <v>#DIV/0!</v>
      </c>
      <c r="L4" s="9">
        <f t="shared" ref="L4:L12" si="1">M4/8</f>
        <v>7.5</v>
      </c>
      <c r="M4" s="9">
        <v>60</v>
      </c>
      <c r="N4" s="16">
        <f t="shared" ref="N4:N5" si="2">B4*I4</f>
        <v>0</v>
      </c>
      <c r="O4" s="16">
        <f>12*3*N4</f>
        <v>0</v>
      </c>
      <c r="P4" s="16">
        <f>C4*I4</f>
        <v>0</v>
      </c>
      <c r="Q4" s="16">
        <f t="shared" ref="O4:Q12" si="3">12*3*P4</f>
        <v>0</v>
      </c>
    </row>
    <row r="5" spans="1:17" ht="31.5" x14ac:dyDescent="0.25">
      <c r="A5" s="14" t="s">
        <v>9</v>
      </c>
      <c r="B5" s="9">
        <f t="shared" si="0"/>
        <v>50</v>
      </c>
      <c r="C5" s="9">
        <v>400</v>
      </c>
      <c r="D5" s="49">
        <v>4.0607970000000003E-6</v>
      </c>
      <c r="E5" s="17">
        <v>4.4379999999999997</v>
      </c>
      <c r="F5" s="17">
        <v>3.01</v>
      </c>
      <c r="G5" s="17">
        <v>1.59</v>
      </c>
      <c r="H5" s="11">
        <v>3.0126666666666666</v>
      </c>
      <c r="I5" s="68"/>
      <c r="J5" s="8" t="e">
        <f>I5/'Cálculo final'!$B$12</f>
        <v>#DIV/0!</v>
      </c>
      <c r="L5" s="9">
        <f t="shared" si="1"/>
        <v>50</v>
      </c>
      <c r="M5" s="9">
        <v>400</v>
      </c>
      <c r="N5" s="16">
        <f t="shared" si="2"/>
        <v>0</v>
      </c>
      <c r="O5" s="16">
        <f>12*3*N5</f>
        <v>0</v>
      </c>
      <c r="P5" s="16"/>
      <c r="Q5" s="16">
        <f t="shared" si="3"/>
        <v>0</v>
      </c>
    </row>
    <row r="6" spans="1:17" ht="31.5" x14ac:dyDescent="0.25">
      <c r="A6" s="14" t="s">
        <v>9</v>
      </c>
      <c r="B6" s="9">
        <f t="shared" si="0"/>
        <v>100</v>
      </c>
      <c r="C6" s="9">
        <v>800</v>
      </c>
      <c r="D6" s="49">
        <v>4.0607970000000003E-6</v>
      </c>
      <c r="E6" s="17">
        <v>4.4379999999999997</v>
      </c>
      <c r="F6" s="17">
        <v>3.01</v>
      </c>
      <c r="G6" s="17">
        <v>1.59</v>
      </c>
      <c r="H6" s="11">
        <v>3.0126666666666666</v>
      </c>
      <c r="I6" s="68"/>
      <c r="J6" s="8" t="e">
        <f>I6/'Cálculo final'!$B$12</f>
        <v>#DIV/0!</v>
      </c>
      <c r="L6" s="9">
        <f t="shared" si="1"/>
        <v>100</v>
      </c>
      <c r="M6" s="9">
        <v>800</v>
      </c>
      <c r="N6" s="16"/>
      <c r="O6" s="16">
        <f>12*3*N6</f>
        <v>0</v>
      </c>
      <c r="P6" s="16"/>
      <c r="Q6" s="16">
        <f t="shared" si="3"/>
        <v>0</v>
      </c>
    </row>
    <row r="7" spans="1:17" ht="31.5" x14ac:dyDescent="0.25">
      <c r="A7" s="14" t="s">
        <v>9</v>
      </c>
      <c r="B7" s="9">
        <f t="shared" si="0"/>
        <v>350</v>
      </c>
      <c r="C7" s="9">
        <v>2800</v>
      </c>
      <c r="D7" s="49">
        <v>4.0607970000000003E-6</v>
      </c>
      <c r="E7" s="17">
        <v>4.4379999999999997</v>
      </c>
      <c r="F7" s="17">
        <v>3.01</v>
      </c>
      <c r="G7" s="17">
        <v>1.59</v>
      </c>
      <c r="H7" s="11">
        <v>3.0126666666666666</v>
      </c>
      <c r="I7" s="68"/>
      <c r="J7" s="8" t="e">
        <f>I7/'Cálculo final'!$B$12</f>
        <v>#DIV/0!</v>
      </c>
      <c r="L7" s="9">
        <f t="shared" si="1"/>
        <v>350</v>
      </c>
      <c r="M7" s="9">
        <v>2800</v>
      </c>
      <c r="N7" s="16"/>
      <c r="O7" s="16">
        <f t="shared" si="3"/>
        <v>0</v>
      </c>
      <c r="P7" s="16"/>
      <c r="Q7" s="16">
        <f t="shared" si="3"/>
        <v>0</v>
      </c>
    </row>
    <row r="8" spans="1:17" ht="31.5" x14ac:dyDescent="0.25">
      <c r="A8" s="14" t="s">
        <v>9</v>
      </c>
      <c r="B8" s="9">
        <f t="shared" si="0"/>
        <v>750</v>
      </c>
      <c r="C8" s="9">
        <v>6000</v>
      </c>
      <c r="D8" s="49">
        <v>4.0607970000000003E-6</v>
      </c>
      <c r="E8" s="17">
        <v>4.4379999999999997</v>
      </c>
      <c r="F8" s="17">
        <v>3.01</v>
      </c>
      <c r="G8" s="17">
        <v>1.59</v>
      </c>
      <c r="H8" s="11">
        <v>3.0126666666666666</v>
      </c>
      <c r="I8" s="68"/>
      <c r="J8" s="8" t="e">
        <f>I8/'Cálculo final'!$B$12</f>
        <v>#DIV/0!</v>
      </c>
      <c r="L8" s="9">
        <f t="shared" si="1"/>
        <v>750</v>
      </c>
      <c r="M8" s="9">
        <v>6000</v>
      </c>
      <c r="N8" s="16"/>
      <c r="O8" s="16">
        <f t="shared" si="3"/>
        <v>0</v>
      </c>
      <c r="P8" s="16">
        <f>C8*I8</f>
        <v>0</v>
      </c>
      <c r="Q8" s="16">
        <f>12*3*P8</f>
        <v>0</v>
      </c>
    </row>
    <row r="9" spans="1:17" ht="47.25" x14ac:dyDescent="0.25">
      <c r="A9" s="14" t="s">
        <v>10</v>
      </c>
      <c r="B9" s="9">
        <f t="shared" si="0"/>
        <v>6.25</v>
      </c>
      <c r="C9" s="9">
        <v>50</v>
      </c>
      <c r="D9" s="49">
        <v>1.4124509999999999E-6</v>
      </c>
      <c r="E9" s="17">
        <v>1.544</v>
      </c>
      <c r="F9" s="17">
        <v>1.79</v>
      </c>
      <c r="G9" s="17">
        <v>1.04</v>
      </c>
      <c r="H9" s="11">
        <v>1.4580000000000002</v>
      </c>
      <c r="I9" s="68"/>
      <c r="J9" s="8" t="e">
        <f>I9/'Cálculo final'!$B$12</f>
        <v>#DIV/0!</v>
      </c>
      <c r="L9" s="9">
        <f t="shared" si="1"/>
        <v>6.25</v>
      </c>
      <c r="M9" s="9">
        <v>50</v>
      </c>
      <c r="N9" s="16">
        <f>B9*I9</f>
        <v>0</v>
      </c>
      <c r="O9" s="16">
        <f>12*3*N9</f>
        <v>0</v>
      </c>
      <c r="P9" s="16">
        <f>C9*I9</f>
        <v>0</v>
      </c>
      <c r="Q9" s="16">
        <f t="shared" si="3"/>
        <v>0</v>
      </c>
    </row>
    <row r="10" spans="1:17" ht="15.75" x14ac:dyDescent="0.25">
      <c r="A10" s="14" t="s">
        <v>36</v>
      </c>
      <c r="B10" s="9">
        <f t="shared" si="0"/>
        <v>5</v>
      </c>
      <c r="C10" s="9">
        <v>40</v>
      </c>
      <c r="D10" s="49">
        <v>1.4124509999999999E-6</v>
      </c>
      <c r="E10" s="17">
        <v>1.544</v>
      </c>
      <c r="F10" s="17">
        <v>1.86</v>
      </c>
      <c r="G10" s="17">
        <v>1.04</v>
      </c>
      <c r="H10" s="11">
        <v>1.4813333333333334</v>
      </c>
      <c r="I10" s="68"/>
      <c r="J10" s="8" t="e">
        <f>I10/'Cálculo final'!$B$12</f>
        <v>#DIV/0!</v>
      </c>
      <c r="L10" s="9">
        <f t="shared" si="1"/>
        <v>5</v>
      </c>
      <c r="M10" s="9">
        <v>40</v>
      </c>
      <c r="N10" s="16">
        <f>B10*I10</f>
        <v>0</v>
      </c>
      <c r="O10" s="16">
        <f t="shared" si="3"/>
        <v>0</v>
      </c>
      <c r="P10" s="16">
        <f t="shared" ref="P10:P11" si="4">C10*I10</f>
        <v>0</v>
      </c>
      <c r="Q10" s="16">
        <f t="shared" si="3"/>
        <v>0</v>
      </c>
    </row>
    <row r="11" spans="1:17" ht="31.5" x14ac:dyDescent="0.25">
      <c r="A11" s="14" t="s">
        <v>11</v>
      </c>
      <c r="B11" s="9">
        <f t="shared" si="0"/>
        <v>6.25</v>
      </c>
      <c r="C11" s="9">
        <v>50</v>
      </c>
      <c r="D11" s="49">
        <v>1.4124509999999999E-6</v>
      </c>
      <c r="E11" s="17">
        <v>1.544</v>
      </c>
      <c r="F11" s="17">
        <v>1.79</v>
      </c>
      <c r="G11" s="17">
        <v>1.04</v>
      </c>
      <c r="H11" s="11">
        <v>1.4580000000000002</v>
      </c>
      <c r="I11" s="68"/>
      <c r="J11" s="8" t="e">
        <f>I11/'Cálculo final'!$B$12</f>
        <v>#DIV/0!</v>
      </c>
      <c r="L11" s="9">
        <f t="shared" si="1"/>
        <v>6.25</v>
      </c>
      <c r="M11" s="9">
        <v>50</v>
      </c>
      <c r="N11" s="16">
        <f>B11*I11</f>
        <v>0</v>
      </c>
      <c r="O11" s="16">
        <f t="shared" si="3"/>
        <v>0</v>
      </c>
      <c r="P11" s="16">
        <f t="shared" si="4"/>
        <v>0</v>
      </c>
      <c r="Q11" s="16">
        <f t="shared" si="3"/>
        <v>0</v>
      </c>
    </row>
    <row r="12" spans="1:17" ht="15.75" x14ac:dyDescent="0.25">
      <c r="A12" s="14" t="s">
        <v>12</v>
      </c>
      <c r="B12" s="9">
        <f t="shared" si="0"/>
        <v>12.5</v>
      </c>
      <c r="C12" s="9">
        <v>100</v>
      </c>
      <c r="D12" s="49">
        <v>1.4124509999999999E-6</v>
      </c>
      <c r="E12" s="17">
        <v>1.544</v>
      </c>
      <c r="F12" s="17">
        <v>1.72</v>
      </c>
      <c r="G12" s="17">
        <v>1.03</v>
      </c>
      <c r="H12" s="11">
        <v>1.4313333333333336</v>
      </c>
      <c r="I12" s="68"/>
      <c r="J12" s="8" t="e">
        <f>I12/'Cálculo final'!$B$12</f>
        <v>#DIV/0!</v>
      </c>
      <c r="L12" s="9">
        <f t="shared" si="1"/>
        <v>12.5</v>
      </c>
      <c r="M12" s="9">
        <v>100</v>
      </c>
      <c r="N12" s="16">
        <f>B12*I12</f>
        <v>0</v>
      </c>
      <c r="O12" s="16">
        <f t="shared" si="3"/>
        <v>0</v>
      </c>
      <c r="P12" s="16">
        <f>C12*I12</f>
        <v>0</v>
      </c>
      <c r="Q12" s="16">
        <f t="shared" si="3"/>
        <v>0</v>
      </c>
    </row>
    <row r="13" spans="1:17" ht="63" x14ac:dyDescent="0.25">
      <c r="L13" s="8"/>
      <c r="M13" s="8"/>
      <c r="N13" s="11" t="s">
        <v>173</v>
      </c>
      <c r="O13" s="11" t="s">
        <v>174</v>
      </c>
      <c r="P13" s="11" t="s">
        <v>175</v>
      </c>
      <c r="Q13" s="11" t="s">
        <v>176</v>
      </c>
    </row>
    <row r="14" spans="1:17" ht="15.75" x14ac:dyDescent="0.25">
      <c r="L14" s="8"/>
      <c r="M14" s="8"/>
      <c r="N14" s="11">
        <f>SUM(N3:N12)</f>
        <v>0</v>
      </c>
      <c r="O14" s="11">
        <f>SUM(O3:O12)</f>
        <v>0</v>
      </c>
      <c r="P14" s="11">
        <f>SUM(P3:P12)</f>
        <v>0</v>
      </c>
      <c r="Q14" s="11">
        <f>SUM(Q3:Q12)</f>
        <v>0</v>
      </c>
    </row>
  </sheetData>
  <mergeCells count="2">
    <mergeCell ref="A1:J1"/>
    <mergeCell ref="L1:Q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P5:P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0F9A-C472-48C9-8130-099C4E1426CA}">
  <dimension ref="A1:T13"/>
  <sheetViews>
    <sheetView zoomScaleNormal="100" workbookViewId="0">
      <selection activeCell="J11" sqref="J11"/>
    </sheetView>
  </sheetViews>
  <sheetFormatPr defaultRowHeight="15" x14ac:dyDescent="0.25"/>
  <cols>
    <col min="1" max="1" width="33.85546875" customWidth="1"/>
    <col min="2" max="2" width="14.140625" customWidth="1"/>
    <col min="3" max="3" width="7.85546875" customWidth="1"/>
    <col min="4" max="4" width="6.85546875" customWidth="1"/>
    <col min="5" max="5" width="14.28515625" hidden="1" customWidth="1"/>
    <col min="6" max="6" width="14.85546875" hidden="1" customWidth="1"/>
    <col min="7" max="8" width="13.42578125" hidden="1" customWidth="1"/>
    <col min="9" max="11" width="14.5703125" customWidth="1"/>
    <col min="12" max="12" width="11.85546875" customWidth="1"/>
    <col min="13" max="13" width="21.28515625" customWidth="1"/>
    <col min="14" max="14" width="9.7109375" customWidth="1"/>
    <col min="15" max="15" width="7.5703125" customWidth="1"/>
    <col min="16" max="16" width="7.7109375" customWidth="1"/>
    <col min="17" max="17" width="12.140625" customWidth="1"/>
    <col min="18" max="18" width="21.7109375" customWidth="1"/>
    <col min="19" max="19" width="14.85546875" customWidth="1"/>
    <col min="20" max="20" width="17.140625" customWidth="1"/>
  </cols>
  <sheetData>
    <row r="1" spans="1:20" ht="24" customHeight="1" x14ac:dyDescent="0.25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M1" s="74" t="s">
        <v>68</v>
      </c>
      <c r="N1" s="74"/>
      <c r="O1" s="74"/>
      <c r="P1" s="74"/>
      <c r="Q1" s="74"/>
      <c r="R1" s="74"/>
      <c r="S1" s="74"/>
      <c r="T1" s="74"/>
    </row>
    <row r="2" spans="1:20" ht="47.25" x14ac:dyDescent="0.25">
      <c r="A2" s="12" t="s">
        <v>42</v>
      </c>
      <c r="B2" s="12" t="s">
        <v>45</v>
      </c>
      <c r="C2" s="12" t="s">
        <v>93</v>
      </c>
      <c r="D2" s="12" t="s">
        <v>94</v>
      </c>
      <c r="E2" s="12" t="s">
        <v>125</v>
      </c>
      <c r="F2" s="12" t="s">
        <v>126</v>
      </c>
      <c r="G2" s="12" t="s">
        <v>127</v>
      </c>
      <c r="H2" s="12" t="s">
        <v>193</v>
      </c>
      <c r="I2" s="12" t="s">
        <v>230</v>
      </c>
      <c r="J2" s="12" t="s">
        <v>231</v>
      </c>
      <c r="K2" s="12" t="s">
        <v>89</v>
      </c>
      <c r="M2" s="12" t="s">
        <v>42</v>
      </c>
      <c r="N2" s="12" t="s">
        <v>45</v>
      </c>
      <c r="O2" s="12" t="s">
        <v>93</v>
      </c>
      <c r="P2" s="12" t="s">
        <v>94</v>
      </c>
      <c r="Q2" s="12" t="s">
        <v>120</v>
      </c>
      <c r="R2" s="12" t="s">
        <v>96</v>
      </c>
      <c r="S2" s="12" t="s">
        <v>99</v>
      </c>
      <c r="T2" s="12" t="s">
        <v>101</v>
      </c>
    </row>
    <row r="3" spans="1:20" ht="31.5" x14ac:dyDescent="0.25">
      <c r="A3" s="13" t="s">
        <v>43</v>
      </c>
      <c r="B3" s="9" t="s">
        <v>50</v>
      </c>
      <c r="C3" s="9">
        <v>1</v>
      </c>
      <c r="D3" s="9">
        <v>500</v>
      </c>
      <c r="E3" s="40">
        <v>1.0419400000000001</v>
      </c>
      <c r="F3" s="17">
        <v>1.5229999999999999</v>
      </c>
      <c r="G3" s="16">
        <v>1.03</v>
      </c>
      <c r="H3" s="50">
        <v>437.57</v>
      </c>
      <c r="I3" s="11">
        <v>1.2765</v>
      </c>
      <c r="J3" s="68"/>
      <c r="K3" s="8" t="e">
        <f>J3/'Cálculo final'!$B$12</f>
        <v>#DIV/0!</v>
      </c>
      <c r="M3" s="13" t="s">
        <v>43</v>
      </c>
      <c r="N3" s="9" t="s">
        <v>50</v>
      </c>
      <c r="O3" s="9">
        <v>1</v>
      </c>
      <c r="P3" s="9">
        <v>500</v>
      </c>
      <c r="Q3" s="16">
        <f>C3*J3</f>
        <v>0</v>
      </c>
      <c r="R3" s="16">
        <f>12*3*Q3</f>
        <v>0</v>
      </c>
      <c r="S3" s="16">
        <f>D3*J3</f>
        <v>0</v>
      </c>
      <c r="T3" s="16">
        <f>12*3*S3</f>
        <v>0</v>
      </c>
    </row>
    <row r="4" spans="1:20" ht="31.5" x14ac:dyDescent="0.25">
      <c r="A4" s="13" t="s">
        <v>44</v>
      </c>
      <c r="B4" s="9" t="s">
        <v>50</v>
      </c>
      <c r="C4" s="9">
        <v>0</v>
      </c>
      <c r="D4" s="9">
        <v>500</v>
      </c>
      <c r="E4" s="40">
        <v>5.731E-2</v>
      </c>
      <c r="F4" s="17">
        <v>1.5229999999999999</v>
      </c>
      <c r="G4" s="16">
        <v>0.44</v>
      </c>
      <c r="H4" s="50">
        <v>17.96</v>
      </c>
      <c r="I4" s="11">
        <v>0.98149999999999993</v>
      </c>
      <c r="J4" s="68"/>
      <c r="K4" s="8" t="e">
        <f>J4/'Cálculo final'!$B$12</f>
        <v>#DIV/0!</v>
      </c>
      <c r="M4" s="13" t="s">
        <v>44</v>
      </c>
      <c r="N4" s="9" t="s">
        <v>50</v>
      </c>
      <c r="O4" s="9">
        <v>0</v>
      </c>
      <c r="P4" s="9">
        <v>500</v>
      </c>
      <c r="Q4" s="16">
        <f t="shared" ref="Q4:Q5" si="0">C4*J4</f>
        <v>0</v>
      </c>
      <c r="R4" s="16">
        <f>12*3*Q4</f>
        <v>0</v>
      </c>
      <c r="S4" s="16">
        <f t="shared" ref="S4" si="1">D4*J4</f>
        <v>0</v>
      </c>
      <c r="T4" s="16">
        <f>12*3*S4</f>
        <v>0</v>
      </c>
    </row>
    <row r="5" spans="1:20" ht="31.5" x14ac:dyDescent="0.25">
      <c r="A5" s="13" t="s">
        <v>48</v>
      </c>
      <c r="B5" s="9" t="s">
        <v>49</v>
      </c>
      <c r="C5" s="9">
        <v>1</v>
      </c>
      <c r="D5" s="9">
        <v>5</v>
      </c>
      <c r="E5" s="18">
        <v>1.94496</v>
      </c>
      <c r="F5" s="17">
        <v>1.5229999999999999</v>
      </c>
      <c r="G5" s="37">
        <v>251.02</v>
      </c>
      <c r="H5" s="37">
        <v>6.93</v>
      </c>
      <c r="I5" s="11">
        <v>1.7339799999999999</v>
      </c>
      <c r="J5" s="68"/>
      <c r="K5" s="8" t="e">
        <f>J5/'Cálculo final'!$B$12</f>
        <v>#DIV/0!</v>
      </c>
      <c r="M5" s="13" t="s">
        <v>48</v>
      </c>
      <c r="N5" s="9" t="s">
        <v>49</v>
      </c>
      <c r="O5" s="9">
        <v>1</v>
      </c>
      <c r="P5" s="9">
        <v>5</v>
      </c>
      <c r="Q5" s="16">
        <f t="shared" si="0"/>
        <v>0</v>
      </c>
      <c r="R5" s="16">
        <f>12*3*Q5</f>
        <v>0</v>
      </c>
      <c r="S5" s="16">
        <f>D5*J5</f>
        <v>0</v>
      </c>
      <c r="T5" s="16">
        <f>12*3*S5</f>
        <v>0</v>
      </c>
    </row>
    <row r="6" spans="1:20" ht="15.75" x14ac:dyDescent="0.25">
      <c r="A6" s="13"/>
      <c r="B6" s="8"/>
      <c r="C6" s="8"/>
      <c r="D6" s="8"/>
      <c r="E6" s="8"/>
      <c r="F6" s="8"/>
      <c r="G6" s="8"/>
      <c r="H6" s="8"/>
      <c r="I6" s="11"/>
      <c r="J6" s="11"/>
      <c r="K6" s="19"/>
      <c r="M6" s="79"/>
      <c r="N6" s="80"/>
      <c r="O6" s="80"/>
      <c r="P6" s="80"/>
      <c r="Q6" s="80"/>
      <c r="R6" s="80"/>
      <c r="S6" s="80"/>
      <c r="T6" s="81"/>
    </row>
    <row r="7" spans="1:20" ht="47.25" x14ac:dyDescent="0.25">
      <c r="A7" s="12" t="s">
        <v>42</v>
      </c>
      <c r="B7" s="12" t="s">
        <v>45</v>
      </c>
      <c r="C7" s="12" t="s">
        <v>93</v>
      </c>
      <c r="D7" s="12" t="s">
        <v>94</v>
      </c>
      <c r="E7" s="12" t="s">
        <v>125</v>
      </c>
      <c r="F7" s="12" t="s">
        <v>126</v>
      </c>
      <c r="G7" s="12" t="s">
        <v>127</v>
      </c>
      <c r="H7" s="12" t="s">
        <v>193</v>
      </c>
      <c r="I7" s="12" t="s">
        <v>230</v>
      </c>
      <c r="J7" s="12" t="s">
        <v>231</v>
      </c>
      <c r="K7" s="58" t="s">
        <v>89</v>
      </c>
      <c r="M7" s="12" t="s">
        <v>42</v>
      </c>
      <c r="N7" s="12" t="s">
        <v>45</v>
      </c>
      <c r="O7" s="12" t="s">
        <v>93</v>
      </c>
      <c r="P7" s="12" t="s">
        <v>94</v>
      </c>
      <c r="Q7" s="12" t="s">
        <v>106</v>
      </c>
      <c r="R7" s="12" t="s">
        <v>97</v>
      </c>
      <c r="S7" s="12" t="s">
        <v>100</v>
      </c>
      <c r="T7" s="12" t="s">
        <v>102</v>
      </c>
    </row>
    <row r="8" spans="1:20" ht="47.25" x14ac:dyDescent="0.25">
      <c r="A8" s="14" t="s">
        <v>46</v>
      </c>
      <c r="B8" s="20" t="s">
        <v>87</v>
      </c>
      <c r="C8" s="9">
        <v>1</v>
      </c>
      <c r="D8" s="9">
        <v>5</v>
      </c>
      <c r="E8" s="37">
        <v>0.23616999999999999</v>
      </c>
      <c r="F8" s="17">
        <v>281.73399999999998</v>
      </c>
      <c r="G8" s="17">
        <v>170.7</v>
      </c>
      <c r="H8" s="54">
        <v>100</v>
      </c>
      <c r="I8" s="11">
        <v>184.14466666666667</v>
      </c>
      <c r="J8" s="68"/>
      <c r="K8" s="8" t="e">
        <f>J8/'Cálculo final'!$B$12</f>
        <v>#DIV/0!</v>
      </c>
      <c r="L8" s="3"/>
      <c r="M8" s="13" t="s">
        <v>46</v>
      </c>
      <c r="N8" s="20" t="s">
        <v>87</v>
      </c>
      <c r="O8" s="9">
        <v>1</v>
      </c>
      <c r="P8" s="9">
        <v>5</v>
      </c>
      <c r="Q8" s="16">
        <f>C8*J8</f>
        <v>0</v>
      </c>
      <c r="R8" s="16">
        <f>36*Q8</f>
        <v>0</v>
      </c>
      <c r="S8" s="16">
        <f>D8*J8</f>
        <v>0</v>
      </c>
      <c r="T8" s="16">
        <f>12*3*S8</f>
        <v>0</v>
      </c>
    </row>
    <row r="9" spans="1:20" ht="15.75" x14ac:dyDescent="0.25">
      <c r="A9" s="14"/>
      <c r="B9" s="8"/>
      <c r="C9" s="8"/>
      <c r="D9" s="8"/>
      <c r="E9" s="8"/>
      <c r="F9" s="8"/>
      <c r="G9" s="8"/>
      <c r="H9" s="8"/>
      <c r="I9" s="11"/>
      <c r="J9" s="11"/>
      <c r="K9" s="19"/>
      <c r="M9" s="79"/>
      <c r="N9" s="80"/>
      <c r="O9" s="80"/>
      <c r="P9" s="80"/>
      <c r="Q9" s="80"/>
      <c r="R9" s="80"/>
      <c r="S9" s="80"/>
      <c r="T9" s="81"/>
    </row>
    <row r="10" spans="1:20" ht="47.25" x14ac:dyDescent="0.25">
      <c r="A10" s="12" t="s">
        <v>42</v>
      </c>
      <c r="B10" s="12" t="s">
        <v>45</v>
      </c>
      <c r="C10" s="12" t="s">
        <v>93</v>
      </c>
      <c r="D10" s="12" t="s">
        <v>94</v>
      </c>
      <c r="E10" s="12" t="s">
        <v>125</v>
      </c>
      <c r="F10" s="12" t="s">
        <v>126</v>
      </c>
      <c r="G10" s="12" t="s">
        <v>127</v>
      </c>
      <c r="H10" s="12" t="s">
        <v>193</v>
      </c>
      <c r="I10" s="12" t="s">
        <v>230</v>
      </c>
      <c r="J10" s="12" t="s">
        <v>231</v>
      </c>
      <c r="K10" s="58" t="s">
        <v>89</v>
      </c>
      <c r="M10" s="12" t="s">
        <v>42</v>
      </c>
      <c r="N10" s="12" t="s">
        <v>45</v>
      </c>
      <c r="O10" s="12" t="s">
        <v>93</v>
      </c>
      <c r="P10" s="12" t="s">
        <v>94</v>
      </c>
      <c r="Q10" s="12" t="s">
        <v>121</v>
      </c>
      <c r="R10" s="12" t="s">
        <v>98</v>
      </c>
      <c r="S10" s="12" t="s">
        <v>100</v>
      </c>
      <c r="T10" s="12" t="s">
        <v>103</v>
      </c>
    </row>
    <row r="11" spans="1:20" ht="47.25" x14ac:dyDescent="0.25">
      <c r="A11" s="14" t="s">
        <v>47</v>
      </c>
      <c r="B11" s="9" t="s">
        <v>51</v>
      </c>
      <c r="C11" s="9">
        <v>1</v>
      </c>
      <c r="D11" s="9">
        <v>5</v>
      </c>
      <c r="E11" s="40">
        <v>2.7799999999999999E-3</v>
      </c>
      <c r="F11" s="17">
        <v>4.0629999999999997</v>
      </c>
      <c r="G11" s="16">
        <v>1.8</v>
      </c>
      <c r="H11" s="36">
        <v>14.59</v>
      </c>
      <c r="I11" s="11">
        <v>6.8176666666666668</v>
      </c>
      <c r="J11" s="68"/>
      <c r="K11" s="8" t="e">
        <f>J11/'Cálculo final'!$B$12</f>
        <v>#DIV/0!</v>
      </c>
      <c r="M11" s="13" t="s">
        <v>47</v>
      </c>
      <c r="N11" s="9" t="s">
        <v>51</v>
      </c>
      <c r="O11" s="9">
        <v>1</v>
      </c>
      <c r="P11" s="9">
        <v>5</v>
      </c>
      <c r="Q11" s="16">
        <f>C11*J11</f>
        <v>0</v>
      </c>
      <c r="R11" s="16">
        <f>12*3*Q11</f>
        <v>0</v>
      </c>
      <c r="S11" s="16">
        <f>D11*J11</f>
        <v>0</v>
      </c>
      <c r="T11" s="16">
        <f>12*3*S11</f>
        <v>0</v>
      </c>
    </row>
    <row r="12" spans="1:20" ht="63" x14ac:dyDescent="0.25">
      <c r="M12" s="13"/>
      <c r="N12" s="8"/>
      <c r="O12" s="8"/>
      <c r="P12" s="8"/>
      <c r="Q12" s="11" t="s">
        <v>179</v>
      </c>
      <c r="R12" s="11" t="s">
        <v>177</v>
      </c>
      <c r="S12" s="11" t="s">
        <v>180</v>
      </c>
      <c r="T12" s="11" t="s">
        <v>178</v>
      </c>
    </row>
    <row r="13" spans="1:20" ht="15.75" x14ac:dyDescent="0.25">
      <c r="M13" s="13"/>
      <c r="N13" s="8"/>
      <c r="O13" s="8"/>
      <c r="P13" s="8"/>
      <c r="Q13" s="16">
        <f>SUM(Q3:Q5,Q8,Q11)</f>
        <v>0</v>
      </c>
      <c r="R13" s="16">
        <f>SUM(R3:R5,R8,R11)</f>
        <v>0</v>
      </c>
      <c r="S13" s="16">
        <f>SUM(S3:S5,S8,S11)</f>
        <v>0</v>
      </c>
      <c r="T13" s="16">
        <f>SUM(T3:T5,T8,T11)</f>
        <v>0</v>
      </c>
    </row>
  </sheetData>
  <mergeCells count="4">
    <mergeCell ref="A1:K1"/>
    <mergeCell ref="M1:T1"/>
    <mergeCell ref="M6:T6"/>
    <mergeCell ref="M9:T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2F92-D8A1-4674-8431-B1FA7FB403D5}">
  <dimension ref="A1:R38"/>
  <sheetViews>
    <sheetView topLeftCell="A4" zoomScale="85" zoomScaleNormal="85" workbookViewId="0">
      <selection activeCell="I10" sqref="I10:I12"/>
    </sheetView>
  </sheetViews>
  <sheetFormatPr defaultRowHeight="15" x14ac:dyDescent="0.25"/>
  <cols>
    <col min="1" max="1" width="40.7109375" customWidth="1"/>
    <col min="2" max="2" width="17.140625" customWidth="1"/>
    <col min="3" max="3" width="17.42578125" customWidth="1"/>
    <col min="4" max="4" width="21" hidden="1" customWidth="1"/>
    <col min="5" max="5" width="16.28515625" hidden="1" customWidth="1"/>
    <col min="6" max="7" width="17.42578125" hidden="1" customWidth="1"/>
    <col min="8" max="10" width="17.28515625" customWidth="1"/>
    <col min="11" max="11" width="9.28515625" customWidth="1"/>
    <col min="12" max="12" width="34.28515625" customWidth="1"/>
    <col min="13" max="13" width="18.42578125" customWidth="1"/>
    <col min="14" max="14" width="17.7109375" customWidth="1"/>
    <col min="15" max="15" width="16.85546875" customWidth="1"/>
    <col min="16" max="16" width="18" customWidth="1"/>
    <col min="17" max="17" width="15.42578125" customWidth="1"/>
    <col min="18" max="18" width="17.5703125" customWidth="1"/>
  </cols>
  <sheetData>
    <row r="1" spans="1:18" ht="24" customHeight="1" x14ac:dyDescent="0.25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L1" s="74" t="s">
        <v>72</v>
      </c>
      <c r="M1" s="74"/>
      <c r="N1" s="74"/>
      <c r="O1" s="74"/>
      <c r="P1" s="74"/>
      <c r="Q1" s="74"/>
      <c r="R1" s="74"/>
    </row>
    <row r="2" spans="1:18" ht="47.25" x14ac:dyDescent="0.25">
      <c r="A2" s="12" t="s">
        <v>16</v>
      </c>
      <c r="B2" s="12" t="s">
        <v>71</v>
      </c>
      <c r="C2" s="12" t="s">
        <v>18</v>
      </c>
      <c r="D2" s="12" t="s">
        <v>143</v>
      </c>
      <c r="E2" s="12" t="s">
        <v>144</v>
      </c>
      <c r="F2" s="12" t="s">
        <v>145</v>
      </c>
      <c r="G2" s="12" t="s">
        <v>194</v>
      </c>
      <c r="H2" s="12" t="s">
        <v>215</v>
      </c>
      <c r="I2" s="12" t="s">
        <v>216</v>
      </c>
      <c r="J2" s="12" t="s">
        <v>89</v>
      </c>
      <c r="L2" s="12" t="s">
        <v>16</v>
      </c>
      <c r="M2" s="12" t="s">
        <v>71</v>
      </c>
      <c r="N2" s="12" t="s">
        <v>18</v>
      </c>
      <c r="O2" s="12" t="s">
        <v>189</v>
      </c>
      <c r="P2" s="12" t="s">
        <v>96</v>
      </c>
      <c r="Q2" s="12" t="s">
        <v>190</v>
      </c>
      <c r="R2" s="12" t="s">
        <v>101</v>
      </c>
    </row>
    <row r="3" spans="1:18" ht="15.75" x14ac:dyDescent="0.25">
      <c r="A3" s="13" t="s">
        <v>15</v>
      </c>
      <c r="B3" s="9">
        <f>C3/8</f>
        <v>750</v>
      </c>
      <c r="C3" s="9">
        <v>6000</v>
      </c>
      <c r="D3" s="18">
        <v>0.47488000000000002</v>
      </c>
      <c r="E3" s="17">
        <v>0.69099999999999995</v>
      </c>
      <c r="F3" s="16">
        <v>0.23</v>
      </c>
      <c r="G3" s="16">
        <v>0.66</v>
      </c>
      <c r="H3" s="11">
        <v>0.51397000000000004</v>
      </c>
      <c r="I3" s="68"/>
      <c r="J3" s="8" t="e">
        <f>I3/'Cálculo final'!$B$12</f>
        <v>#DIV/0!</v>
      </c>
      <c r="L3" s="13" t="s">
        <v>15</v>
      </c>
      <c r="M3" s="9">
        <f>N3/8</f>
        <v>750</v>
      </c>
      <c r="N3" s="9">
        <v>6000</v>
      </c>
      <c r="O3" s="16">
        <f>B3*I3</f>
        <v>0</v>
      </c>
      <c r="P3" s="16">
        <f>12*3*O3</f>
        <v>0</v>
      </c>
      <c r="Q3" s="16">
        <f>C3*I3</f>
        <v>0</v>
      </c>
      <c r="R3" s="16">
        <f>12*3*Q3</f>
        <v>0</v>
      </c>
    </row>
    <row r="4" spans="1:18" ht="31.5" x14ac:dyDescent="0.25">
      <c r="A4" s="13" t="s">
        <v>27</v>
      </c>
      <c r="B4" s="9">
        <f>C4/8</f>
        <v>250</v>
      </c>
      <c r="C4" s="9">
        <v>2000</v>
      </c>
      <c r="D4" s="18">
        <v>0.66344000000000003</v>
      </c>
      <c r="E4" s="17">
        <v>1.93</v>
      </c>
      <c r="F4" s="16">
        <v>0.23</v>
      </c>
      <c r="G4" s="16">
        <v>1.36</v>
      </c>
      <c r="H4" s="11">
        <v>1.04586</v>
      </c>
      <c r="I4" s="68"/>
      <c r="J4" s="8" t="e">
        <f>I4/'Cálculo final'!$B$12</f>
        <v>#DIV/0!</v>
      </c>
      <c r="L4" s="13" t="s">
        <v>27</v>
      </c>
      <c r="M4" s="9">
        <f>N4/8</f>
        <v>250</v>
      </c>
      <c r="N4" s="9">
        <v>2000</v>
      </c>
      <c r="O4" s="16">
        <f>B4*I4</f>
        <v>0</v>
      </c>
      <c r="P4" s="16">
        <f>12*3*O4</f>
        <v>0</v>
      </c>
      <c r="Q4" s="16">
        <f>C4*I4</f>
        <v>0</v>
      </c>
      <c r="R4" s="16">
        <f>12*3*Q4</f>
        <v>0</v>
      </c>
    </row>
    <row r="5" spans="1:18" ht="15.75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L5" s="82"/>
      <c r="M5" s="82"/>
      <c r="N5" s="82"/>
      <c r="O5" s="82"/>
      <c r="P5" s="82"/>
      <c r="Q5" s="82"/>
      <c r="R5" s="83"/>
    </row>
    <row r="6" spans="1:18" ht="23.25" x14ac:dyDescent="0.25">
      <c r="A6" s="74" t="s">
        <v>30</v>
      </c>
      <c r="B6" s="74"/>
      <c r="C6" s="74"/>
      <c r="D6" s="74"/>
      <c r="E6" s="74"/>
      <c r="F6" s="74"/>
      <c r="G6" s="74"/>
      <c r="H6" s="74"/>
      <c r="I6" s="74"/>
      <c r="J6" s="74"/>
      <c r="L6" s="74" t="s">
        <v>30</v>
      </c>
      <c r="M6" s="74"/>
      <c r="N6" s="74"/>
      <c r="O6" s="74"/>
      <c r="P6" s="74"/>
      <c r="Q6" s="74"/>
      <c r="R6" s="74"/>
    </row>
    <row r="7" spans="1:18" ht="47.25" x14ac:dyDescent="0.25">
      <c r="A7" s="12" t="s">
        <v>16</v>
      </c>
      <c r="B7" s="12" t="s">
        <v>17</v>
      </c>
      <c r="C7" s="12" t="s">
        <v>19</v>
      </c>
      <c r="D7" s="12" t="s">
        <v>133</v>
      </c>
      <c r="E7" s="12" t="s">
        <v>129</v>
      </c>
      <c r="F7" s="12" t="s">
        <v>128</v>
      </c>
      <c r="G7" s="12" t="s">
        <v>195</v>
      </c>
      <c r="H7" s="12" t="s">
        <v>217</v>
      </c>
      <c r="I7" s="12" t="s">
        <v>218</v>
      </c>
      <c r="J7" s="12" t="s">
        <v>89</v>
      </c>
      <c r="L7" s="12" t="s">
        <v>16</v>
      </c>
      <c r="M7" s="12" t="s">
        <v>17</v>
      </c>
      <c r="N7" s="12" t="s">
        <v>19</v>
      </c>
      <c r="O7" s="12" t="s">
        <v>74</v>
      </c>
      <c r="P7" s="12" t="s">
        <v>73</v>
      </c>
      <c r="Q7" s="12" t="s">
        <v>75</v>
      </c>
      <c r="R7" s="12" t="s">
        <v>73</v>
      </c>
    </row>
    <row r="8" spans="1:18" ht="15.75" x14ac:dyDescent="0.25">
      <c r="A8" s="13" t="s">
        <v>29</v>
      </c>
      <c r="B8" s="9">
        <v>500</v>
      </c>
      <c r="C8" s="9">
        <v>1000</v>
      </c>
      <c r="D8" s="39">
        <v>1.5363765000000001E-5</v>
      </c>
      <c r="E8" s="17">
        <v>1.833</v>
      </c>
      <c r="F8" s="17">
        <v>0.89</v>
      </c>
      <c r="G8" s="37">
        <v>0.36</v>
      </c>
      <c r="H8" s="11">
        <v>1.3614999999999999</v>
      </c>
      <c r="I8" s="68"/>
      <c r="J8" s="8" t="e">
        <f>I8/'Cálculo final'!$B$12</f>
        <v>#DIV/0!</v>
      </c>
      <c r="L8" s="13" t="s">
        <v>29</v>
      </c>
      <c r="M8" s="9">
        <v>500</v>
      </c>
      <c r="N8" s="9">
        <v>1000</v>
      </c>
      <c r="O8" s="16">
        <f>B8*I8</f>
        <v>0</v>
      </c>
      <c r="P8" s="16">
        <f>O8</f>
        <v>0</v>
      </c>
      <c r="Q8" s="16">
        <f>C8*I8</f>
        <v>0</v>
      </c>
      <c r="R8" s="16">
        <f>Q8</f>
        <v>0</v>
      </c>
    </row>
    <row r="9" spans="1:18" ht="47.25" x14ac:dyDescent="0.25">
      <c r="A9" s="12" t="s">
        <v>16</v>
      </c>
      <c r="B9" s="12" t="s">
        <v>52</v>
      </c>
      <c r="C9" s="12" t="s">
        <v>53</v>
      </c>
      <c r="D9" s="12" t="s">
        <v>157</v>
      </c>
      <c r="E9" s="12" t="s">
        <v>158</v>
      </c>
      <c r="F9" s="12" t="s">
        <v>159</v>
      </c>
      <c r="G9" s="12"/>
      <c r="H9" s="12" t="s">
        <v>221</v>
      </c>
      <c r="I9" s="12" t="s">
        <v>222</v>
      </c>
      <c r="J9" s="12" t="s">
        <v>89</v>
      </c>
      <c r="L9" s="12" t="s">
        <v>16</v>
      </c>
      <c r="M9" s="12" t="s">
        <v>109</v>
      </c>
      <c r="N9" s="12" t="s">
        <v>108</v>
      </c>
      <c r="O9" s="12" t="s">
        <v>107</v>
      </c>
      <c r="P9" s="12" t="s">
        <v>96</v>
      </c>
      <c r="Q9" s="12" t="s">
        <v>110</v>
      </c>
      <c r="R9" s="12" t="s">
        <v>101</v>
      </c>
    </row>
    <row r="10" spans="1:18" ht="31.5" x14ac:dyDescent="0.25">
      <c r="A10" s="13" t="s">
        <v>54</v>
      </c>
      <c r="B10" s="9">
        <v>1</v>
      </c>
      <c r="C10" s="9">
        <v>2</v>
      </c>
      <c r="D10" s="16"/>
      <c r="E10" s="17">
        <v>50.780999999999999</v>
      </c>
      <c r="F10" s="17">
        <v>34.39</v>
      </c>
      <c r="G10" s="55">
        <v>36.479999999999997</v>
      </c>
      <c r="H10" s="11">
        <v>40.550333333333327</v>
      </c>
      <c r="I10" s="68"/>
      <c r="J10" s="8" t="e">
        <f>I10/'Cálculo final'!$B$12</f>
        <v>#DIV/0!</v>
      </c>
      <c r="L10" s="13" t="s">
        <v>54</v>
      </c>
      <c r="M10" s="9">
        <v>1</v>
      </c>
      <c r="N10" s="9">
        <v>2</v>
      </c>
      <c r="O10" s="16">
        <f>B10*I10</f>
        <v>0</v>
      </c>
      <c r="P10" s="16">
        <f>12*3*O10</f>
        <v>0</v>
      </c>
      <c r="Q10" s="16">
        <f>C10*I10</f>
        <v>0</v>
      </c>
      <c r="R10" s="16">
        <f>12*3*Q10</f>
        <v>0</v>
      </c>
    </row>
    <row r="11" spans="1:18" ht="47.25" x14ac:dyDescent="0.25">
      <c r="A11" s="13" t="s">
        <v>55</v>
      </c>
      <c r="B11" s="9">
        <v>5</v>
      </c>
      <c r="C11" s="9">
        <v>10</v>
      </c>
      <c r="D11" s="11"/>
      <c r="E11" s="17">
        <v>10.156000000000001</v>
      </c>
      <c r="F11" s="16">
        <v>6.88</v>
      </c>
      <c r="G11" s="24">
        <v>7.3</v>
      </c>
      <c r="H11" s="11">
        <v>8.1120000000000001</v>
      </c>
      <c r="I11" s="68"/>
      <c r="J11" s="8" t="e">
        <f>I11/'Cálculo final'!$B$12</f>
        <v>#DIV/0!</v>
      </c>
      <c r="L11" s="13" t="s">
        <v>55</v>
      </c>
      <c r="M11" s="9">
        <v>5</v>
      </c>
      <c r="N11" s="9">
        <v>10</v>
      </c>
      <c r="O11" s="16">
        <f t="shared" ref="O11:O12" si="0">B11*I11</f>
        <v>0</v>
      </c>
      <c r="P11" s="16">
        <f>12*3*O11</f>
        <v>0</v>
      </c>
      <c r="Q11" s="16">
        <f t="shared" ref="Q11:Q12" si="1">C11*I11</f>
        <v>0</v>
      </c>
      <c r="R11" s="16">
        <f>12*3*Q11</f>
        <v>0</v>
      </c>
    </row>
    <row r="12" spans="1:18" ht="47.25" x14ac:dyDescent="0.25">
      <c r="A12" s="13" t="s">
        <v>56</v>
      </c>
      <c r="B12" s="9">
        <v>2</v>
      </c>
      <c r="C12" s="9">
        <v>50</v>
      </c>
      <c r="D12" s="40">
        <v>1.052E-2</v>
      </c>
      <c r="E12" s="17">
        <v>6.0940000000000003</v>
      </c>
      <c r="F12" s="17">
        <v>4.13</v>
      </c>
      <c r="G12" s="55">
        <v>4.38</v>
      </c>
      <c r="H12" s="11">
        <v>4.8679999999999994</v>
      </c>
      <c r="I12" s="68"/>
      <c r="J12" s="8" t="e">
        <f>I12/'Cálculo final'!$B$12</f>
        <v>#DIV/0!</v>
      </c>
      <c r="L12" s="13" t="s">
        <v>56</v>
      </c>
      <c r="M12" s="9">
        <v>2</v>
      </c>
      <c r="N12" s="9">
        <v>50</v>
      </c>
      <c r="O12" s="16">
        <f t="shared" si="0"/>
        <v>0</v>
      </c>
      <c r="P12" s="16">
        <f>12*3*O12</f>
        <v>0</v>
      </c>
      <c r="Q12" s="16">
        <f t="shared" si="1"/>
        <v>0</v>
      </c>
      <c r="R12" s="16">
        <f>12*3*Q12</f>
        <v>0</v>
      </c>
    </row>
    <row r="13" spans="1:18" ht="15.75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L13" s="82"/>
      <c r="M13" s="82"/>
      <c r="N13" s="82"/>
      <c r="O13" s="82"/>
      <c r="P13" s="82"/>
      <c r="Q13" s="82"/>
      <c r="R13" s="83"/>
    </row>
    <row r="14" spans="1:18" ht="23.25" x14ac:dyDescent="0.25">
      <c r="A14" s="74" t="s">
        <v>31</v>
      </c>
      <c r="B14" s="74"/>
      <c r="C14" s="74"/>
      <c r="D14" s="74"/>
      <c r="E14" s="74"/>
      <c r="F14" s="74"/>
      <c r="G14" s="74"/>
      <c r="H14" s="74"/>
      <c r="I14" s="74"/>
      <c r="J14" s="74"/>
      <c r="L14" s="74" t="s">
        <v>31</v>
      </c>
      <c r="M14" s="74"/>
      <c r="N14" s="74"/>
      <c r="O14" s="74"/>
      <c r="P14" s="74"/>
      <c r="Q14" s="74"/>
      <c r="R14" s="74"/>
    </row>
    <row r="15" spans="1:18" ht="63" x14ac:dyDescent="0.25">
      <c r="A15" s="12" t="s">
        <v>16</v>
      </c>
      <c r="B15" s="12" t="s">
        <v>20</v>
      </c>
      <c r="C15" s="12" t="s">
        <v>60</v>
      </c>
      <c r="D15" s="12" t="s">
        <v>132</v>
      </c>
      <c r="E15" s="12" t="s">
        <v>130</v>
      </c>
      <c r="F15" s="12" t="s">
        <v>131</v>
      </c>
      <c r="G15" s="12" t="s">
        <v>196</v>
      </c>
      <c r="H15" s="12" t="s">
        <v>219</v>
      </c>
      <c r="I15" s="12" t="s">
        <v>220</v>
      </c>
      <c r="J15" s="12" t="s">
        <v>89</v>
      </c>
      <c r="L15" s="12" t="s">
        <v>16</v>
      </c>
      <c r="M15" s="12" t="s">
        <v>93</v>
      </c>
      <c r="N15" s="12" t="s">
        <v>111</v>
      </c>
      <c r="O15" s="12" t="s">
        <v>107</v>
      </c>
      <c r="P15" s="12" t="s">
        <v>97</v>
      </c>
      <c r="Q15" s="12" t="s">
        <v>110</v>
      </c>
      <c r="R15" s="12" t="s">
        <v>102</v>
      </c>
    </row>
    <row r="16" spans="1:18" ht="63" x14ac:dyDescent="0.25">
      <c r="A16" s="13" t="s">
        <v>76</v>
      </c>
      <c r="B16" s="9">
        <v>5</v>
      </c>
      <c r="C16" s="22">
        <v>30</v>
      </c>
      <c r="D16" s="40">
        <v>3.8250700000000002</v>
      </c>
      <c r="E16" s="23">
        <v>0.5078125</v>
      </c>
      <c r="F16" s="31">
        <v>30</v>
      </c>
      <c r="G16" s="51">
        <v>0.11</v>
      </c>
      <c r="H16" s="11">
        <v>0.30890624999999999</v>
      </c>
      <c r="I16" s="68"/>
      <c r="J16" s="8" t="e">
        <f>I16/'Cálculo final'!$B$12</f>
        <v>#DIV/0!</v>
      </c>
      <c r="L16" s="13" t="s">
        <v>76</v>
      </c>
      <c r="M16" s="9">
        <v>5</v>
      </c>
      <c r="N16" s="22">
        <v>30</v>
      </c>
      <c r="O16" s="16">
        <f>B16*I16</f>
        <v>0</v>
      </c>
      <c r="P16" s="16">
        <f>24*365*3*O16</f>
        <v>0</v>
      </c>
      <c r="Q16" s="16">
        <f>C16*I16</f>
        <v>0</v>
      </c>
      <c r="R16" s="16">
        <f>24*365*3*Q16</f>
        <v>0</v>
      </c>
    </row>
    <row r="17" spans="1:18" ht="15.75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L17" s="82"/>
      <c r="M17" s="82"/>
      <c r="N17" s="82"/>
      <c r="O17" s="82"/>
      <c r="P17" s="82"/>
      <c r="Q17" s="82"/>
      <c r="R17" s="83"/>
    </row>
    <row r="18" spans="1:18" ht="23.25" x14ac:dyDescent="0.25">
      <c r="A18" s="74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L18" s="74" t="s">
        <v>32</v>
      </c>
      <c r="M18" s="74"/>
      <c r="N18" s="74"/>
      <c r="O18" s="74"/>
      <c r="P18" s="74"/>
      <c r="Q18" s="74"/>
      <c r="R18" s="74"/>
    </row>
    <row r="19" spans="1:18" ht="47.25" x14ac:dyDescent="0.25">
      <c r="A19" s="12" t="s">
        <v>21</v>
      </c>
      <c r="B19" s="12" t="s">
        <v>61</v>
      </c>
      <c r="C19" s="12" t="s">
        <v>23</v>
      </c>
      <c r="D19" s="12" t="s">
        <v>134</v>
      </c>
      <c r="E19" s="12" t="s">
        <v>135</v>
      </c>
      <c r="F19" s="12" t="s">
        <v>136</v>
      </c>
      <c r="G19" s="12" t="s">
        <v>197</v>
      </c>
      <c r="H19" s="12" t="s">
        <v>224</v>
      </c>
      <c r="I19" s="12" t="s">
        <v>223</v>
      </c>
      <c r="J19" s="12" t="s">
        <v>89</v>
      </c>
      <c r="L19" s="12" t="s">
        <v>21</v>
      </c>
      <c r="M19" s="12"/>
      <c r="N19" s="12"/>
      <c r="O19" s="12" t="s">
        <v>107</v>
      </c>
      <c r="P19" s="12" t="s">
        <v>112</v>
      </c>
      <c r="Q19" s="12" t="s">
        <v>110</v>
      </c>
      <c r="R19" s="12" t="s">
        <v>113</v>
      </c>
    </row>
    <row r="20" spans="1:18" ht="31.5" x14ac:dyDescent="0.25">
      <c r="A20" s="13" t="s">
        <v>22</v>
      </c>
      <c r="B20" s="9">
        <v>1</v>
      </c>
      <c r="C20" s="9">
        <v>2000</v>
      </c>
      <c r="D20" s="40">
        <v>5.45E-3</v>
      </c>
      <c r="E20" s="17">
        <v>0.86699999999999999</v>
      </c>
      <c r="F20" s="16">
        <v>0.55000000000000004</v>
      </c>
      <c r="G20" s="16">
        <v>0.6</v>
      </c>
      <c r="H20" s="11">
        <v>0.67233333333333334</v>
      </c>
      <c r="I20" s="68"/>
      <c r="J20" s="8" t="e">
        <f>I20/'Cálculo final'!$B$12</f>
        <v>#DIV/0!</v>
      </c>
      <c r="L20" s="13" t="s">
        <v>22</v>
      </c>
      <c r="M20" s="9">
        <v>1</v>
      </c>
      <c r="N20" s="9">
        <v>2000</v>
      </c>
      <c r="O20" s="16">
        <f>B20*I20</f>
        <v>0</v>
      </c>
      <c r="P20" s="16">
        <f>36*O20</f>
        <v>0</v>
      </c>
      <c r="Q20" s="16">
        <f>C20*I20</f>
        <v>0</v>
      </c>
      <c r="R20" s="16">
        <f>36*Q20</f>
        <v>0</v>
      </c>
    </row>
    <row r="21" spans="1:18" ht="15.75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L21" s="84"/>
      <c r="M21" s="82"/>
      <c r="N21" s="82"/>
      <c r="O21" s="82"/>
      <c r="P21" s="82"/>
      <c r="Q21" s="82"/>
      <c r="R21" s="83"/>
    </row>
    <row r="22" spans="1:18" ht="23.25" x14ac:dyDescent="0.25">
      <c r="A22" s="74" t="s">
        <v>33</v>
      </c>
      <c r="B22" s="74"/>
      <c r="C22" s="74"/>
      <c r="D22" s="74"/>
      <c r="E22" s="74"/>
      <c r="F22" s="74"/>
      <c r="G22" s="74"/>
      <c r="H22" s="74"/>
      <c r="I22" s="74"/>
      <c r="J22" s="74"/>
      <c r="L22" s="74" t="s">
        <v>33</v>
      </c>
      <c r="M22" s="74"/>
      <c r="N22" s="74"/>
      <c r="O22" s="74"/>
      <c r="P22" s="74"/>
      <c r="Q22" s="74"/>
      <c r="R22" s="74"/>
    </row>
    <row r="23" spans="1:18" ht="47.25" x14ac:dyDescent="0.25">
      <c r="A23" s="12" t="s">
        <v>16</v>
      </c>
      <c r="B23" s="12" t="s">
        <v>37</v>
      </c>
      <c r="C23" s="12" t="s">
        <v>38</v>
      </c>
      <c r="D23" s="12" t="s">
        <v>137</v>
      </c>
      <c r="E23" s="12" t="s">
        <v>138</v>
      </c>
      <c r="F23" s="12" t="s">
        <v>139</v>
      </c>
      <c r="G23" s="12" t="s">
        <v>198</v>
      </c>
      <c r="H23" s="12" t="s">
        <v>225</v>
      </c>
      <c r="I23" s="12" t="s">
        <v>226</v>
      </c>
      <c r="J23" s="12" t="s">
        <v>89</v>
      </c>
      <c r="L23" s="12" t="s">
        <v>16</v>
      </c>
      <c r="M23" s="12" t="s">
        <v>116</v>
      </c>
      <c r="N23" s="12" t="s">
        <v>115</v>
      </c>
      <c r="O23" s="12" t="s">
        <v>114</v>
      </c>
      <c r="P23" s="12" t="s">
        <v>96</v>
      </c>
      <c r="Q23" s="12" t="s">
        <v>117</v>
      </c>
      <c r="R23" s="12" t="s">
        <v>101</v>
      </c>
    </row>
    <row r="24" spans="1:18" ht="31.5" x14ac:dyDescent="0.25">
      <c r="A24" s="13" t="s">
        <v>62</v>
      </c>
      <c r="B24" s="9">
        <v>100</v>
      </c>
      <c r="C24" s="9">
        <v>100000</v>
      </c>
      <c r="D24" s="56">
        <f>1000*0.00069835</f>
        <v>0.69835000000000003</v>
      </c>
      <c r="E24" s="17">
        <v>3.6669999999999998</v>
      </c>
      <c r="F24" s="16">
        <v>1.51</v>
      </c>
      <c r="G24" s="24">
        <f>145.67/50</f>
        <v>2.9133999999999998</v>
      </c>
      <c r="H24" s="11">
        <v>2.1971874999999996</v>
      </c>
      <c r="I24" s="68"/>
      <c r="J24" s="8" t="e">
        <f>I24/'Cálculo final'!$B$12</f>
        <v>#DIV/0!</v>
      </c>
      <c r="L24" s="9" t="s">
        <v>62</v>
      </c>
      <c r="M24" s="9">
        <v>100</v>
      </c>
      <c r="N24" s="9">
        <v>100000</v>
      </c>
      <c r="O24" s="16">
        <f>I24/10</f>
        <v>0</v>
      </c>
      <c r="P24" s="16">
        <f>12*3*O24</f>
        <v>0</v>
      </c>
      <c r="Q24" s="16">
        <f>(C24*I24)/1000</f>
        <v>0</v>
      </c>
      <c r="R24" s="16">
        <f>12*3*Q24</f>
        <v>0</v>
      </c>
    </row>
    <row r="25" spans="1:18" ht="15.75" x14ac:dyDescent="0.25">
      <c r="A25" s="1"/>
      <c r="B25" s="1"/>
      <c r="C25" s="1"/>
      <c r="D25" s="1"/>
      <c r="L25" s="82"/>
      <c r="M25" s="82"/>
      <c r="N25" s="82"/>
      <c r="O25" s="82"/>
      <c r="P25" s="82"/>
      <c r="Q25" s="82"/>
      <c r="R25" s="83"/>
    </row>
    <row r="26" spans="1:18" ht="23.25" x14ac:dyDescent="0.25">
      <c r="A26" s="74" t="s">
        <v>39</v>
      </c>
      <c r="B26" s="74"/>
      <c r="C26" s="74"/>
      <c r="D26" s="74"/>
      <c r="E26" s="74"/>
      <c r="F26" s="74"/>
      <c r="G26" s="74"/>
      <c r="H26" s="74"/>
      <c r="I26" s="74"/>
      <c r="J26" s="74"/>
      <c r="L26" s="74" t="s">
        <v>39</v>
      </c>
      <c r="M26" s="74"/>
      <c r="N26" s="74"/>
      <c r="O26" s="74"/>
      <c r="P26" s="74"/>
      <c r="Q26" s="74"/>
      <c r="R26" s="74"/>
    </row>
    <row r="27" spans="1:18" ht="47.25" x14ac:dyDescent="0.25">
      <c r="A27" s="12" t="s">
        <v>16</v>
      </c>
      <c r="B27" s="12" t="s">
        <v>37</v>
      </c>
      <c r="C27" s="12" t="s">
        <v>38</v>
      </c>
      <c r="D27" s="12" t="s">
        <v>140</v>
      </c>
      <c r="E27" s="12" t="s">
        <v>141</v>
      </c>
      <c r="F27" s="12" t="s">
        <v>142</v>
      </c>
      <c r="G27" s="12" t="s">
        <v>199</v>
      </c>
      <c r="H27" s="12" t="s">
        <v>227</v>
      </c>
      <c r="I27" s="12" t="s">
        <v>228</v>
      </c>
      <c r="J27" s="12" t="s">
        <v>89</v>
      </c>
      <c r="L27" s="12" t="s">
        <v>16</v>
      </c>
      <c r="M27" s="12" t="s">
        <v>116</v>
      </c>
      <c r="N27" s="12" t="s">
        <v>115</v>
      </c>
      <c r="O27" s="12" t="s">
        <v>107</v>
      </c>
      <c r="P27" s="12" t="s">
        <v>97</v>
      </c>
      <c r="Q27" s="12" t="s">
        <v>110</v>
      </c>
      <c r="R27" s="12" t="s">
        <v>102</v>
      </c>
    </row>
    <row r="28" spans="1:18" ht="31.5" x14ac:dyDescent="0.25">
      <c r="A28" s="13" t="s">
        <v>57</v>
      </c>
      <c r="B28" s="9">
        <v>1</v>
      </c>
      <c r="C28" s="9">
        <v>5</v>
      </c>
      <c r="D28" s="57">
        <v>0.87294000000000005</v>
      </c>
      <c r="E28" s="17">
        <v>5.0780000000000003</v>
      </c>
      <c r="F28" s="24">
        <v>8.94</v>
      </c>
      <c r="G28" s="24">
        <v>3.64</v>
      </c>
      <c r="H28" s="11">
        <v>4.6327350000000003</v>
      </c>
      <c r="I28" s="68"/>
      <c r="J28" s="8" t="e">
        <f>I28/'Cálculo final'!$B$12</f>
        <v>#DIV/0!</v>
      </c>
      <c r="L28" s="13" t="s">
        <v>57</v>
      </c>
      <c r="M28" s="9">
        <v>1</v>
      </c>
      <c r="N28" s="9">
        <v>5</v>
      </c>
      <c r="O28" s="16">
        <f>B28*I28</f>
        <v>0</v>
      </c>
      <c r="P28" s="36">
        <f>24*365*3*O28</f>
        <v>0</v>
      </c>
      <c r="Q28" s="16">
        <f>C28*I28</f>
        <v>0</v>
      </c>
      <c r="R28" s="16">
        <f>24*365*3*Q28</f>
        <v>0</v>
      </c>
    </row>
    <row r="29" spans="1:18" ht="47.25" x14ac:dyDescent="0.25">
      <c r="E29" s="2"/>
      <c r="F29" s="2"/>
      <c r="G29" s="2"/>
      <c r="H29" s="2"/>
      <c r="I29" s="2"/>
      <c r="J29" s="2"/>
      <c r="L29" s="13"/>
      <c r="M29" s="9"/>
      <c r="N29" s="8"/>
      <c r="O29" s="11" t="s">
        <v>69</v>
      </c>
      <c r="P29" s="11" t="s">
        <v>181</v>
      </c>
      <c r="Q29" s="11" t="s">
        <v>70</v>
      </c>
      <c r="R29" s="11" t="s">
        <v>182</v>
      </c>
    </row>
    <row r="30" spans="1:18" ht="15.75" x14ac:dyDescent="0.25">
      <c r="E30" s="2"/>
      <c r="F30" s="2"/>
      <c r="G30" s="2"/>
      <c r="H30" s="2"/>
      <c r="I30" s="2"/>
      <c r="J30" s="2"/>
      <c r="L30" s="13"/>
      <c r="M30" s="9"/>
      <c r="N30" s="8"/>
      <c r="O30" s="16">
        <f>SUM(O3:O4,O8,O10:O12,O16,O20,O24,O28,)</f>
        <v>0</v>
      </c>
      <c r="P30" s="16">
        <f>SUM(P3:P4,P8,P10:P12,P16,P20,P24,P28,)</f>
        <v>0</v>
      </c>
      <c r="Q30" s="16">
        <f>SUM(Q3:Q4,Q8,Q10:Q12,Q16,Q20,Q24,Q28,)</f>
        <v>0</v>
      </c>
      <c r="R30" s="16">
        <f>SUM(R3:R4,R8,R10:R12,R16,R20,R24,R28,)</f>
        <v>0</v>
      </c>
    </row>
    <row r="31" spans="1:18" x14ac:dyDescent="0.25">
      <c r="E31" s="2"/>
      <c r="F31" s="2"/>
      <c r="G31" s="2"/>
      <c r="H31" s="2"/>
      <c r="I31" s="2"/>
      <c r="J31" s="2"/>
    </row>
    <row r="32" spans="1:18" s="2" customFormat="1" x14ac:dyDescent="0.25">
      <c r="A32"/>
      <c r="B32"/>
      <c r="C32"/>
      <c r="D32"/>
    </row>
    <row r="33" spans="1:10" s="2" customFormat="1" x14ac:dyDescent="0.25">
      <c r="A33"/>
      <c r="B33"/>
      <c r="C33"/>
      <c r="D33"/>
      <c r="E33"/>
      <c r="F33"/>
      <c r="G33"/>
      <c r="H33"/>
      <c r="I33"/>
      <c r="J33"/>
    </row>
    <row r="34" spans="1:10" s="2" customFormat="1" x14ac:dyDescent="0.25">
      <c r="A34"/>
      <c r="B34"/>
      <c r="C34"/>
      <c r="D34"/>
      <c r="E34"/>
      <c r="F34"/>
      <c r="G34"/>
      <c r="H34"/>
      <c r="I34"/>
      <c r="J34"/>
    </row>
    <row r="35" spans="1:10" s="2" customFormat="1" x14ac:dyDescent="0.25">
      <c r="A35"/>
      <c r="B35"/>
      <c r="C35"/>
      <c r="D35"/>
      <c r="E35"/>
      <c r="F35"/>
      <c r="G35"/>
      <c r="H35"/>
      <c r="I35"/>
      <c r="J35"/>
    </row>
    <row r="36" spans="1:10" s="2" customFormat="1" x14ac:dyDescent="0.25">
      <c r="A36"/>
      <c r="B36"/>
      <c r="C36"/>
      <c r="D36"/>
      <c r="E36"/>
      <c r="F36"/>
      <c r="G36"/>
      <c r="H36"/>
      <c r="I36"/>
      <c r="J36"/>
    </row>
    <row r="37" spans="1:10" s="2" customFormat="1" x14ac:dyDescent="0.25">
      <c r="A37"/>
      <c r="B37"/>
      <c r="C37"/>
      <c r="D37"/>
      <c r="E37"/>
      <c r="F37"/>
      <c r="G37"/>
      <c r="H37"/>
      <c r="I37"/>
      <c r="J37"/>
    </row>
    <row r="38" spans="1:10" s="2" customFormat="1" x14ac:dyDescent="0.25">
      <c r="A38"/>
      <c r="B38"/>
      <c r="C38"/>
      <c r="D38"/>
      <c r="E38"/>
      <c r="F38"/>
      <c r="G38"/>
      <c r="H38"/>
      <c r="I38"/>
      <c r="J38"/>
    </row>
  </sheetData>
  <mergeCells count="21">
    <mergeCell ref="A1:J1"/>
    <mergeCell ref="A6:J6"/>
    <mergeCell ref="L1:R1"/>
    <mergeCell ref="A18:J18"/>
    <mergeCell ref="A22:J22"/>
    <mergeCell ref="L5:R5"/>
    <mergeCell ref="L13:R13"/>
    <mergeCell ref="L17:R17"/>
    <mergeCell ref="L21:R21"/>
    <mergeCell ref="A5:J5"/>
    <mergeCell ref="A13:J13"/>
    <mergeCell ref="A17:J17"/>
    <mergeCell ref="A21:J21"/>
    <mergeCell ref="L6:R6"/>
    <mergeCell ref="A26:J26"/>
    <mergeCell ref="A14:J14"/>
    <mergeCell ref="L14:R14"/>
    <mergeCell ref="L26:R26"/>
    <mergeCell ref="L22:R22"/>
    <mergeCell ref="L18:R18"/>
    <mergeCell ref="L25:R2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0CFA-4867-4930-8C10-81637CF4DA39}">
  <dimension ref="A1:R4"/>
  <sheetViews>
    <sheetView zoomScale="85" zoomScaleNormal="85" workbookViewId="0">
      <selection activeCell="I4" sqref="I4"/>
    </sheetView>
  </sheetViews>
  <sheetFormatPr defaultRowHeight="15" x14ac:dyDescent="0.25"/>
  <cols>
    <col min="1" max="1" width="59" customWidth="1"/>
    <col min="2" max="2" width="9.140625" customWidth="1"/>
    <col min="3" max="3" width="9.42578125" customWidth="1"/>
    <col min="4" max="4" width="16.140625" hidden="1" customWidth="1"/>
    <col min="5" max="7" width="15.28515625" hidden="1" customWidth="1"/>
    <col min="8" max="8" width="16.140625" bestFit="1" customWidth="1"/>
    <col min="9" max="10" width="16.140625" customWidth="1"/>
    <col min="11" max="11" width="7" customWidth="1"/>
    <col min="12" max="12" width="64.140625" customWidth="1"/>
    <col min="13" max="13" width="9" customWidth="1"/>
    <col min="14" max="14" width="8.140625" customWidth="1"/>
    <col min="15" max="15" width="16.85546875" customWidth="1"/>
    <col min="16" max="16" width="21.7109375" customWidth="1"/>
    <col min="17" max="17" width="15.28515625" customWidth="1"/>
    <col min="18" max="18" width="21.42578125" customWidth="1"/>
  </cols>
  <sheetData>
    <row r="1" spans="1:18" ht="29.25" customHeight="1" x14ac:dyDescent="0.25">
      <c r="A1" s="74" t="s">
        <v>35</v>
      </c>
      <c r="B1" s="74"/>
      <c r="C1" s="74"/>
      <c r="D1" s="74"/>
      <c r="E1" s="74"/>
      <c r="F1" s="74"/>
      <c r="G1" s="74"/>
      <c r="H1" s="74"/>
      <c r="I1" s="74"/>
      <c r="J1" s="74"/>
      <c r="L1" s="74" t="s">
        <v>91</v>
      </c>
      <c r="M1" s="74"/>
      <c r="N1" s="74"/>
      <c r="O1" s="74"/>
      <c r="P1" s="74"/>
      <c r="Q1" s="74"/>
      <c r="R1" s="74"/>
    </row>
    <row r="2" spans="1:18" ht="48" customHeight="1" x14ac:dyDescent="0.25">
      <c r="A2" s="12" t="s">
        <v>24</v>
      </c>
      <c r="B2" s="12" t="s">
        <v>118</v>
      </c>
      <c r="C2" s="12" t="s">
        <v>94</v>
      </c>
      <c r="D2" s="12" t="s">
        <v>146</v>
      </c>
      <c r="E2" s="12" t="s">
        <v>147</v>
      </c>
      <c r="F2" s="12" t="s">
        <v>148</v>
      </c>
      <c r="G2" s="12" t="s">
        <v>200</v>
      </c>
      <c r="H2" s="12" t="s">
        <v>230</v>
      </c>
      <c r="I2" s="12" t="s">
        <v>231</v>
      </c>
      <c r="J2" s="12" t="s">
        <v>89</v>
      </c>
      <c r="L2" s="12" t="s">
        <v>24</v>
      </c>
      <c r="M2" s="12" t="s">
        <v>118</v>
      </c>
      <c r="N2" s="12" t="s">
        <v>119</v>
      </c>
      <c r="O2" s="12" t="s">
        <v>84</v>
      </c>
      <c r="P2" s="12" t="s">
        <v>183</v>
      </c>
      <c r="Q2" s="12" t="s">
        <v>85</v>
      </c>
      <c r="R2" s="12" t="s">
        <v>184</v>
      </c>
    </row>
    <row r="3" spans="1:18" ht="113.25" customHeight="1" x14ac:dyDescent="0.25">
      <c r="A3" s="13" t="s">
        <v>155</v>
      </c>
      <c r="B3" s="9">
        <v>1</v>
      </c>
      <c r="C3" s="9">
        <v>1</v>
      </c>
      <c r="D3" s="38">
        <f>414.18*8*22</f>
        <v>72895.680000000008</v>
      </c>
      <c r="E3" s="25">
        <v>15452.11</v>
      </c>
      <c r="F3" s="26">
        <v>20592</v>
      </c>
      <c r="G3" s="26">
        <v>7200</v>
      </c>
      <c r="H3" s="11">
        <v>14414.703333333333</v>
      </c>
      <c r="I3" s="68"/>
      <c r="J3" s="46" t="e">
        <f>I3/'Cálculo final'!$B$21</f>
        <v>#DIV/0!</v>
      </c>
      <c r="L3" s="13" t="s">
        <v>153</v>
      </c>
      <c r="M3" s="9">
        <v>1</v>
      </c>
      <c r="N3" s="9">
        <v>1</v>
      </c>
      <c r="O3" s="16">
        <f>I3</f>
        <v>0</v>
      </c>
      <c r="P3" s="16">
        <f>12*3*O3</f>
        <v>0</v>
      </c>
      <c r="Q3" s="16"/>
      <c r="R3" s="16"/>
    </row>
    <row r="4" spans="1:18" ht="167.25" customHeight="1" x14ac:dyDescent="0.25">
      <c r="A4" s="13" t="s">
        <v>156</v>
      </c>
      <c r="B4" s="9">
        <v>0</v>
      </c>
      <c r="C4" s="9">
        <v>1</v>
      </c>
      <c r="D4" s="38">
        <f>828.36*24*31</f>
        <v>616299.84</v>
      </c>
      <c r="E4" s="25">
        <v>21052.11</v>
      </c>
      <c r="F4" s="26">
        <v>41184</v>
      </c>
      <c r="G4" s="26">
        <v>14500</v>
      </c>
      <c r="H4" s="11">
        <v>25578.703333333335</v>
      </c>
      <c r="I4" s="68"/>
      <c r="J4" s="8" t="e">
        <f>I4/'Cálculo final'!$B$21</f>
        <v>#DIV/0!</v>
      </c>
      <c r="L4" s="13" t="s">
        <v>152</v>
      </c>
      <c r="M4" s="9">
        <v>0</v>
      </c>
      <c r="N4" s="9">
        <v>1</v>
      </c>
      <c r="O4" s="16"/>
      <c r="P4" s="16"/>
      <c r="Q4" s="16">
        <f>I4</f>
        <v>0</v>
      </c>
      <c r="R4" s="16">
        <f>12*3*Q4</f>
        <v>0</v>
      </c>
    </row>
  </sheetData>
  <mergeCells count="2">
    <mergeCell ref="A1:J1"/>
    <mergeCell ref="L1:R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7E41-8F4E-423E-8714-F4FCE5081A95}">
  <dimension ref="A1:Q3"/>
  <sheetViews>
    <sheetView zoomScale="80" zoomScaleNormal="80" workbookViewId="0">
      <selection activeCell="I3" sqref="I3"/>
    </sheetView>
  </sheetViews>
  <sheetFormatPr defaultRowHeight="15" x14ac:dyDescent="0.25"/>
  <cols>
    <col min="1" max="1" width="59" customWidth="1"/>
    <col min="3" max="3" width="9.42578125" customWidth="1"/>
    <col min="4" max="4" width="13.5703125" hidden="1" customWidth="1"/>
    <col min="5" max="7" width="15.28515625" hidden="1" customWidth="1"/>
    <col min="8" max="8" width="16.140625" bestFit="1" customWidth="1"/>
    <col min="9" max="9" width="16.140625" customWidth="1"/>
    <col min="10" max="10" width="7" customWidth="1"/>
    <col min="11" max="11" width="64.140625" customWidth="1"/>
    <col min="12" max="12" width="9" customWidth="1"/>
    <col min="13" max="13" width="8.140625" customWidth="1"/>
    <col min="14" max="14" width="16.85546875" customWidth="1"/>
    <col min="15" max="15" width="21.7109375" customWidth="1"/>
    <col min="16" max="16" width="15.28515625" customWidth="1"/>
    <col min="17" max="17" width="21.42578125" customWidth="1"/>
  </cols>
  <sheetData>
    <row r="1" spans="1:17" ht="30.75" customHeight="1" x14ac:dyDescent="0.25">
      <c r="A1" s="87" t="s">
        <v>90</v>
      </c>
      <c r="B1" s="88"/>
      <c r="C1" s="88"/>
      <c r="D1" s="88"/>
      <c r="E1" s="88"/>
      <c r="F1" s="88"/>
      <c r="G1" s="88"/>
      <c r="H1" s="88"/>
      <c r="I1" s="88"/>
      <c r="K1" s="74" t="s">
        <v>90</v>
      </c>
      <c r="L1" s="74"/>
      <c r="M1" s="74"/>
      <c r="N1" s="74"/>
      <c r="O1" s="74"/>
      <c r="P1" s="74"/>
      <c r="Q1" s="74"/>
    </row>
    <row r="2" spans="1:17" ht="47.25" customHeight="1" x14ac:dyDescent="0.25">
      <c r="A2" s="12" t="s">
        <v>59</v>
      </c>
      <c r="B2" s="12" t="s">
        <v>93</v>
      </c>
      <c r="C2" s="12" t="s">
        <v>94</v>
      </c>
      <c r="D2" s="12" t="s">
        <v>149</v>
      </c>
      <c r="E2" s="12" t="s">
        <v>150</v>
      </c>
      <c r="F2" s="12" t="s">
        <v>151</v>
      </c>
      <c r="G2" s="12" t="s">
        <v>201</v>
      </c>
      <c r="H2" s="12" t="s">
        <v>232</v>
      </c>
      <c r="I2" s="12" t="s">
        <v>233</v>
      </c>
      <c r="K2" s="12" t="s">
        <v>59</v>
      </c>
      <c r="L2" s="12" t="s">
        <v>93</v>
      </c>
      <c r="M2" s="12" t="s">
        <v>94</v>
      </c>
      <c r="N2" s="12" t="s">
        <v>77</v>
      </c>
      <c r="O2" s="12" t="s">
        <v>186</v>
      </c>
      <c r="P2" s="12" t="s">
        <v>78</v>
      </c>
      <c r="Q2" s="12" t="s">
        <v>185</v>
      </c>
    </row>
    <row r="3" spans="1:17" ht="63" customHeight="1" x14ac:dyDescent="0.25">
      <c r="A3" s="13" t="s">
        <v>25</v>
      </c>
      <c r="B3" s="9">
        <v>0</v>
      </c>
      <c r="C3" s="9">
        <v>100</v>
      </c>
      <c r="D3" s="25">
        <v>504.22</v>
      </c>
      <c r="E3" s="25">
        <v>280</v>
      </c>
      <c r="F3" s="25">
        <v>324</v>
      </c>
      <c r="G3" s="25">
        <v>350</v>
      </c>
      <c r="H3" s="11">
        <v>364.55500000000001</v>
      </c>
      <c r="I3" s="68"/>
      <c r="K3" s="13" t="s">
        <v>25</v>
      </c>
      <c r="L3" s="9">
        <v>0</v>
      </c>
      <c r="M3" s="9">
        <v>100</v>
      </c>
      <c r="N3" s="16">
        <f>B3*H3</f>
        <v>0</v>
      </c>
      <c r="O3" s="16">
        <f>N3</f>
        <v>0</v>
      </c>
      <c r="P3" s="16">
        <f>C3*H3</f>
        <v>36455.5</v>
      </c>
      <c r="Q3" s="16">
        <f>P3</f>
        <v>36455.5</v>
      </c>
    </row>
  </sheetData>
  <mergeCells count="2">
    <mergeCell ref="A1:I1"/>
    <mergeCell ref="K1:Q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7A0E-0E25-42B0-B741-FD3254C46191}">
  <dimension ref="A1:E28"/>
  <sheetViews>
    <sheetView zoomScaleNormal="100" workbookViewId="0">
      <selection activeCell="B6" sqref="B6"/>
    </sheetView>
  </sheetViews>
  <sheetFormatPr defaultRowHeight="15" x14ac:dyDescent="0.25"/>
  <cols>
    <col min="1" max="1" width="36.85546875" customWidth="1"/>
    <col min="2" max="2" width="21.140625" customWidth="1"/>
    <col min="3" max="3" width="17.5703125" bestFit="1" customWidth="1"/>
    <col min="4" max="4" width="13.5703125" bestFit="1" customWidth="1"/>
    <col min="5" max="5" width="25.7109375" customWidth="1"/>
    <col min="6" max="6" width="21.140625" bestFit="1" customWidth="1"/>
    <col min="7" max="7" width="17.5703125" bestFit="1" customWidth="1"/>
  </cols>
  <sheetData>
    <row r="1" spans="1:3" ht="24" customHeight="1" x14ac:dyDescent="0.25">
      <c r="A1" s="74" t="s">
        <v>163</v>
      </c>
      <c r="B1" s="74"/>
      <c r="C1" s="74"/>
    </row>
    <row r="2" spans="1:3" ht="24" customHeight="1" x14ac:dyDescent="0.25">
      <c r="A2" s="32"/>
      <c r="B2" s="30" t="s">
        <v>80</v>
      </c>
      <c r="C2" s="30" t="s">
        <v>81</v>
      </c>
    </row>
    <row r="3" spans="1:3" ht="15.75" x14ac:dyDescent="0.25">
      <c r="A3" s="13" t="s">
        <v>79</v>
      </c>
      <c r="B3" s="16">
        <f>Instâncias!R13</f>
        <v>0</v>
      </c>
      <c r="C3" s="16">
        <f>Instâncias!T13</f>
        <v>0</v>
      </c>
    </row>
    <row r="4" spans="1:3" ht="15.75" x14ac:dyDescent="0.25">
      <c r="A4" s="13" t="s">
        <v>82</v>
      </c>
      <c r="B4" s="16">
        <f>Volume!O14</f>
        <v>0</v>
      </c>
      <c r="C4" s="16">
        <f>Volume!Q14</f>
        <v>0</v>
      </c>
    </row>
    <row r="5" spans="1:3" ht="15.75" x14ac:dyDescent="0.25">
      <c r="A5" s="13" t="s">
        <v>83</v>
      </c>
      <c r="B5" s="16">
        <f>Rede!R13</f>
        <v>0</v>
      </c>
      <c r="C5" s="16">
        <f>Rede!T13</f>
        <v>0</v>
      </c>
    </row>
    <row r="6" spans="1:3" ht="15.75" x14ac:dyDescent="0.25">
      <c r="A6" s="13" t="s">
        <v>16</v>
      </c>
      <c r="B6" s="16">
        <f>Serviços!P30</f>
        <v>0</v>
      </c>
      <c r="C6" s="16">
        <f>Serviços!R30</f>
        <v>0</v>
      </c>
    </row>
    <row r="7" spans="1:3" ht="15.75" x14ac:dyDescent="0.25">
      <c r="A7" s="27" t="s">
        <v>86</v>
      </c>
      <c r="B7" s="16">
        <f>SUM(B3:B6)</f>
        <v>0</v>
      </c>
      <c r="C7" s="16">
        <f>SUM(C3:C6)</f>
        <v>0</v>
      </c>
    </row>
    <row r="9" spans="1:3" ht="15.75" customHeight="1" x14ac:dyDescent="0.25">
      <c r="A9" s="90" t="s">
        <v>162</v>
      </c>
      <c r="B9" s="90"/>
    </row>
    <row r="10" spans="1:3" ht="15.75" x14ac:dyDescent="0.25">
      <c r="A10" s="27" t="s">
        <v>88</v>
      </c>
      <c r="B10" s="48">
        <f>C7</f>
        <v>0</v>
      </c>
    </row>
    <row r="11" spans="1:3" ht="31.5" x14ac:dyDescent="0.25">
      <c r="A11" s="27" t="s">
        <v>161</v>
      </c>
      <c r="B11" s="41">
        <f>24*365*3</f>
        <v>26280</v>
      </c>
    </row>
    <row r="12" spans="1:3" ht="15.75" x14ac:dyDescent="0.25">
      <c r="A12" s="27" t="s">
        <v>92</v>
      </c>
      <c r="B12" s="71">
        <f>B10/B11</f>
        <v>0</v>
      </c>
    </row>
    <row r="14" spans="1:3" ht="23.25" x14ac:dyDescent="0.25">
      <c r="A14" s="74" t="s">
        <v>160</v>
      </c>
      <c r="B14" s="74"/>
      <c r="C14" s="74"/>
    </row>
    <row r="15" spans="1:3" ht="23.25" x14ac:dyDescent="0.25">
      <c r="A15" s="30"/>
      <c r="B15" s="30" t="s">
        <v>80</v>
      </c>
      <c r="C15" s="30" t="s">
        <v>81</v>
      </c>
    </row>
    <row r="16" spans="1:3" x14ac:dyDescent="0.25">
      <c r="A16" s="34" t="s">
        <v>160</v>
      </c>
      <c r="B16" s="42">
        <f>Sustentação!P3</f>
        <v>0</v>
      </c>
      <c r="C16" s="42">
        <f>Sustentação!R4</f>
        <v>0</v>
      </c>
    </row>
    <row r="18" spans="1:5" ht="15.75" x14ac:dyDescent="0.25">
      <c r="A18" s="90" t="s">
        <v>164</v>
      </c>
      <c r="B18" s="90"/>
    </row>
    <row r="19" spans="1:5" ht="15.75" x14ac:dyDescent="0.25">
      <c r="A19" s="27" t="s">
        <v>88</v>
      </c>
      <c r="B19" s="47">
        <f>C16</f>
        <v>0</v>
      </c>
    </row>
    <row r="20" spans="1:5" ht="31.5" x14ac:dyDescent="0.25">
      <c r="A20" s="27" t="s">
        <v>161</v>
      </c>
      <c r="B20" s="44">
        <f>24*365*3</f>
        <v>26280</v>
      </c>
      <c r="C20" s="4"/>
    </row>
    <row r="21" spans="1:5" x14ac:dyDescent="0.25">
      <c r="A21" s="43" t="s">
        <v>92</v>
      </c>
      <c r="B21" s="72">
        <f>B19/B20</f>
        <v>0</v>
      </c>
    </row>
    <row r="23" spans="1:5" x14ac:dyDescent="0.25">
      <c r="A23" s="43" t="s">
        <v>166</v>
      </c>
      <c r="B23" s="33" t="s">
        <v>167</v>
      </c>
      <c r="C23" s="33" t="s">
        <v>170</v>
      </c>
      <c r="D23" s="33" t="s">
        <v>168</v>
      </c>
      <c r="E23" s="33" t="s">
        <v>169</v>
      </c>
    </row>
    <row r="24" spans="1:5" x14ac:dyDescent="0.25">
      <c r="A24" s="34" t="s">
        <v>34</v>
      </c>
      <c r="B24" s="45">
        <v>1</v>
      </c>
      <c r="C24" s="45" t="s">
        <v>170</v>
      </c>
      <c r="D24" s="42">
        <f>Setup!C3</f>
        <v>0</v>
      </c>
      <c r="E24" s="28">
        <f>D24*B24</f>
        <v>0</v>
      </c>
    </row>
    <row r="25" spans="1:5" x14ac:dyDescent="0.25">
      <c r="A25" s="35" t="s">
        <v>165</v>
      </c>
      <c r="B25" s="45">
        <v>26280</v>
      </c>
      <c r="C25" s="45" t="s">
        <v>171</v>
      </c>
      <c r="D25" s="53">
        <f>B12</f>
        <v>0</v>
      </c>
      <c r="E25" s="28">
        <f>D25*B25</f>
        <v>0</v>
      </c>
    </row>
    <row r="26" spans="1:5" x14ac:dyDescent="0.25">
      <c r="A26" s="35" t="s">
        <v>160</v>
      </c>
      <c r="B26" s="45">
        <v>26280</v>
      </c>
      <c r="C26" s="45" t="s">
        <v>171</v>
      </c>
      <c r="D26" s="42">
        <f>B21</f>
        <v>0</v>
      </c>
      <c r="E26" s="28">
        <f t="shared" ref="E26:E27" si="0">D26*B26</f>
        <v>0</v>
      </c>
    </row>
    <row r="27" spans="1:5" x14ac:dyDescent="0.25">
      <c r="A27" s="34" t="s">
        <v>90</v>
      </c>
      <c r="B27" s="45">
        <v>100</v>
      </c>
      <c r="C27" s="45" t="s">
        <v>172</v>
      </c>
      <c r="D27" s="42">
        <f>Consultoria!I3</f>
        <v>0</v>
      </c>
      <c r="E27" s="28">
        <f t="shared" si="0"/>
        <v>0</v>
      </c>
    </row>
    <row r="28" spans="1:5" ht="18.75" x14ac:dyDescent="0.3">
      <c r="A28" s="89" t="s">
        <v>245</v>
      </c>
      <c r="B28" s="89"/>
      <c r="C28" s="89"/>
      <c r="D28" s="89"/>
      <c r="E28" s="69">
        <f>SUM(E24:E27)</f>
        <v>0</v>
      </c>
    </row>
  </sheetData>
  <mergeCells count="5">
    <mergeCell ref="A28:D28"/>
    <mergeCell ref="A1:C1"/>
    <mergeCell ref="A14:C14"/>
    <mergeCell ref="A9:B9"/>
    <mergeCell ref="A18:B18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Resumo</vt:lpstr>
      <vt:lpstr>Setup</vt:lpstr>
      <vt:lpstr>Instâncias</vt:lpstr>
      <vt:lpstr>Volume</vt:lpstr>
      <vt:lpstr>Rede</vt:lpstr>
      <vt:lpstr>Serviços</vt:lpstr>
      <vt:lpstr>Sustentação</vt:lpstr>
      <vt:lpstr>Consultoria</vt:lpstr>
      <vt:lpstr>Cálculo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Izaias B. Santos</dc:creator>
  <cp:lastModifiedBy>Andressa P. Giacomazzo</cp:lastModifiedBy>
  <dcterms:created xsi:type="dcterms:W3CDTF">2015-06-05T18:19:34Z</dcterms:created>
  <dcterms:modified xsi:type="dcterms:W3CDTF">2023-10-19T11:26:09Z</dcterms:modified>
</cp:coreProperties>
</file>